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ФОНД\АКТУАЛИЗАЦИЯ ПОСТАНОВЛЕНИЙ\АКТУАЛИЗАЦИЯ 2024\АКТУАЛИЗАЦИЯ 2024 (часть 5)\2024 КП-2017-2019\"/>
    </mc:Choice>
  </mc:AlternateContent>
  <bookViews>
    <workbookView xWindow="0" yWindow="0" windowWidth="24000" windowHeight="9600" tabRatio="479"/>
  </bookViews>
  <sheets>
    <sheet name="приложение № 3" sheetId="4" r:id="rId1"/>
  </sheets>
  <definedNames>
    <definedName name="_xlnm._FilterDatabase" localSheetId="0" hidden="1">'приложение № 3'!$A$14:$AW$621</definedName>
    <definedName name="_xlnm.Print_Titles" localSheetId="0">'приложение № 3'!$10:$13</definedName>
    <definedName name="_xlnm.Print_Area" localSheetId="0">'приложение № 3'!$B$1:$AB$623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99" i="4" l="1"/>
  <c r="B311" i="4" l="1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U505" i="4" l="1"/>
  <c r="U598" i="4" l="1"/>
  <c r="R598" i="4"/>
  <c r="P598" i="4"/>
  <c r="U519" i="4"/>
  <c r="R519" i="4"/>
  <c r="P519" i="4"/>
  <c r="U351" i="4"/>
  <c r="R351" i="4"/>
  <c r="Q351" i="4"/>
  <c r="P351" i="4"/>
  <c r="N351" i="4"/>
  <c r="M351" i="4"/>
  <c r="K351" i="4"/>
  <c r="J351" i="4"/>
  <c r="U406" i="4" l="1"/>
  <c r="U83" i="4"/>
  <c r="J506" i="4" l="1"/>
  <c r="P56" i="4" l="1"/>
  <c r="W56" i="4" s="1"/>
  <c r="AB56" i="4" s="1"/>
  <c r="P57" i="4"/>
  <c r="W57" i="4" s="1"/>
  <c r="AB57" i="4" s="1"/>
  <c r="P55" i="4"/>
  <c r="W55" i="4" s="1"/>
  <c r="AB55" i="4" s="1"/>
  <c r="B55" i="4" l="1"/>
  <c r="B56" i="4"/>
  <c r="B57" i="4"/>
  <c r="U502" i="4" l="1"/>
  <c r="P502" i="4"/>
  <c r="G619" i="4" l="1"/>
  <c r="H619" i="4"/>
  <c r="B307" i="4" l="1"/>
  <c r="B308" i="4"/>
  <c r="B309" i="4"/>
  <c r="B310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H605" i="4"/>
  <c r="G605" i="4"/>
  <c r="F605" i="4"/>
  <c r="W604" i="4"/>
  <c r="AB604" i="4" s="1"/>
  <c r="AB605" i="4" s="1"/>
  <c r="W600" i="4"/>
  <c r="AB600" i="4" s="1"/>
  <c r="W605" i="4" l="1"/>
  <c r="W502" i="4" l="1"/>
  <c r="P582" i="4" l="1"/>
  <c r="Q116" i="4" l="1"/>
  <c r="P615" i="4" l="1"/>
  <c r="P614" i="4"/>
  <c r="P612" i="4"/>
  <c r="P608" i="4"/>
  <c r="P607" i="4"/>
  <c r="P601" i="4"/>
  <c r="P599" i="4"/>
  <c r="P595" i="4"/>
  <c r="P589" i="4"/>
  <c r="P583" i="4"/>
  <c r="P580" i="4"/>
  <c r="P579" i="4"/>
  <c r="P578" i="4"/>
  <c r="P577" i="4"/>
  <c r="P574" i="4"/>
  <c r="P573" i="4"/>
  <c r="P570" i="4"/>
  <c r="P569" i="4"/>
  <c r="P562" i="4"/>
  <c r="P561" i="4"/>
  <c r="P558" i="4"/>
  <c r="P557" i="4"/>
  <c r="P556" i="4"/>
  <c r="P553" i="4"/>
  <c r="P552" i="4"/>
  <c r="P547" i="4"/>
  <c r="P544" i="4"/>
  <c r="P543" i="4"/>
  <c r="P542" i="4"/>
  <c r="P521" i="4"/>
  <c r="P520" i="4"/>
  <c r="P518" i="4"/>
  <c r="P509" i="4"/>
  <c r="P507" i="4"/>
  <c r="P500" i="4"/>
  <c r="P482" i="4"/>
  <c r="P431" i="4"/>
  <c r="P421" i="4"/>
  <c r="P417" i="4"/>
  <c r="P411" i="4"/>
  <c r="P410" i="4"/>
  <c r="P408" i="4"/>
  <c r="P407" i="4"/>
  <c r="P405" i="4"/>
  <c r="P399" i="4"/>
  <c r="P398" i="4"/>
  <c r="P393" i="4"/>
  <c r="P390" i="4"/>
  <c r="P387" i="4"/>
  <c r="P386" i="4"/>
  <c r="P385" i="4"/>
  <c r="P384" i="4"/>
  <c r="P383" i="4"/>
  <c r="P382" i="4"/>
  <c r="P381" i="4"/>
  <c r="P380" i="4"/>
  <c r="P379" i="4"/>
  <c r="P378" i="4"/>
  <c r="P377" i="4"/>
  <c r="P376" i="4"/>
  <c r="P375" i="4"/>
  <c r="P374" i="4"/>
  <c r="P373" i="4"/>
  <c r="P372" i="4"/>
  <c r="P371" i="4"/>
  <c r="P370" i="4"/>
  <c r="P369" i="4"/>
  <c r="P368" i="4"/>
  <c r="P365" i="4"/>
  <c r="P362" i="4"/>
  <c r="P361" i="4"/>
  <c r="P360" i="4"/>
  <c r="P359" i="4"/>
  <c r="P358" i="4"/>
  <c r="P357" i="4"/>
  <c r="P356" i="4"/>
  <c r="P355" i="4"/>
  <c r="P325" i="4"/>
  <c r="P315" i="4"/>
  <c r="P314" i="4"/>
  <c r="P313" i="4"/>
  <c r="P310" i="4"/>
  <c r="P309" i="4"/>
  <c r="M501" i="4" l="1"/>
  <c r="G34" i="4" l="1"/>
  <c r="F34" i="4"/>
  <c r="F28" i="4"/>
  <c r="F24" i="4"/>
  <c r="F619" i="4" l="1"/>
  <c r="O209" i="4" l="1"/>
  <c r="U209" i="4"/>
  <c r="K513" i="4" l="1"/>
  <c r="W513" i="4" s="1"/>
  <c r="AB513" i="4" s="1"/>
  <c r="G590" i="4" l="1"/>
  <c r="H590" i="4"/>
  <c r="F590" i="4"/>
  <c r="S589" i="4"/>
  <c r="W589" i="4" l="1"/>
  <c r="AB589" i="4" s="1"/>
  <c r="R428" i="4" l="1"/>
  <c r="W428" i="4" s="1"/>
  <c r="AB428" i="4" s="1"/>
  <c r="Q515" i="4" l="1"/>
  <c r="M515" i="4"/>
  <c r="J515" i="4"/>
  <c r="W515" i="4" l="1"/>
  <c r="AB515" i="4" s="1"/>
  <c r="F353" i="4"/>
  <c r="O338" i="4"/>
  <c r="W338" i="4" l="1"/>
  <c r="AB338" i="4" s="1"/>
  <c r="B22" i="4"/>
  <c r="B23" i="4"/>
  <c r="P262" i="4"/>
  <c r="G584" i="4"/>
  <c r="H584" i="4"/>
  <c r="F584" i="4"/>
  <c r="W262" i="4" l="1"/>
  <c r="AB262" i="4" s="1"/>
  <c r="U374" i="4"/>
  <c r="P526" i="4" l="1"/>
  <c r="R526" i="4"/>
  <c r="U526" i="4"/>
  <c r="P525" i="4"/>
  <c r="R525" i="4"/>
  <c r="U525" i="4"/>
  <c r="W525" i="4" l="1"/>
  <c r="AB525" i="4" s="1"/>
  <c r="W526" i="4"/>
  <c r="AB526" i="4" s="1"/>
  <c r="U80" i="4" l="1"/>
  <c r="W552" i="4" l="1"/>
  <c r="AB552" i="4" s="1"/>
  <c r="J514" i="4" l="1"/>
  <c r="W514" i="4" s="1"/>
  <c r="AB514" i="4" s="1"/>
  <c r="U529" i="4" l="1"/>
  <c r="U509" i="4"/>
  <c r="S509" i="4"/>
  <c r="R509" i="4"/>
  <c r="Q509" i="4"/>
  <c r="N509" i="4"/>
  <c r="M509" i="4"/>
  <c r="K509" i="4"/>
  <c r="J509" i="4" l="1"/>
  <c r="N512" i="4" l="1"/>
  <c r="W512" i="4" s="1"/>
  <c r="AB512" i="4" s="1"/>
  <c r="P511" i="4" l="1"/>
  <c r="W511" i="4" s="1"/>
  <c r="AB511" i="4" s="1"/>
  <c r="W509" i="4" l="1"/>
  <c r="AB509" i="4" s="1"/>
  <c r="U530" i="4" l="1"/>
  <c r="S530" i="4"/>
  <c r="R530" i="4"/>
  <c r="Q530" i="4"/>
  <c r="P530" i="4"/>
  <c r="G571" i="4" l="1"/>
  <c r="H571" i="4"/>
  <c r="F571" i="4"/>
  <c r="G554" i="4"/>
  <c r="H554" i="4"/>
  <c r="F554" i="4"/>
  <c r="U518" i="4" l="1"/>
  <c r="U507" i="4"/>
  <c r="U506" i="4"/>
  <c r="W397" i="4"/>
  <c r="AB397" i="4" s="1"/>
  <c r="G587" i="4" l="1"/>
  <c r="H587" i="4"/>
  <c r="F587" i="4"/>
  <c r="S507" i="4" l="1"/>
  <c r="R507" i="4"/>
  <c r="N507" i="4"/>
  <c r="M507" i="4"/>
  <c r="S506" i="4"/>
  <c r="R506" i="4"/>
  <c r="Q506" i="4"/>
  <c r="W506" i="4" l="1"/>
  <c r="AB506" i="4" s="1"/>
  <c r="W507" i="4"/>
  <c r="AB507" i="4" s="1"/>
  <c r="S518" i="4"/>
  <c r="R518" i="4"/>
  <c r="N518" i="4"/>
  <c r="M518" i="4"/>
  <c r="W518" i="4" l="1"/>
  <c r="AB518" i="4" s="1"/>
  <c r="W570" i="4"/>
  <c r="AB570" i="4" s="1"/>
  <c r="W553" i="4" l="1"/>
  <c r="AB553" i="4" s="1"/>
  <c r="P618" i="4" l="1"/>
  <c r="W618" i="4" s="1"/>
  <c r="AB618" i="4" s="1"/>
  <c r="P510" i="4" l="1"/>
  <c r="W510" i="4" s="1"/>
  <c r="AB510" i="4" s="1"/>
  <c r="J508" i="4" l="1"/>
  <c r="W508" i="4" s="1"/>
  <c r="AB508" i="4" s="1"/>
  <c r="R581" i="4" l="1"/>
  <c r="P617" i="4" l="1"/>
  <c r="W617" i="4" s="1"/>
  <c r="AB617" i="4" s="1"/>
  <c r="F214" i="4" l="1"/>
  <c r="U399" i="4" l="1"/>
  <c r="U398" i="4"/>
  <c r="R399" i="4"/>
  <c r="S398" i="4"/>
  <c r="R398" i="4"/>
  <c r="W398" i="4" l="1"/>
  <c r="AB398" i="4" s="1"/>
  <c r="W399" i="4"/>
  <c r="AB399" i="4" s="1"/>
  <c r="P505" i="4"/>
  <c r="W579" i="4"/>
  <c r="AB579" i="4" s="1"/>
  <c r="W580" i="4"/>
  <c r="AB580" i="4" s="1"/>
  <c r="W505" i="4" l="1"/>
  <c r="AB505" i="4" s="1"/>
  <c r="P616" i="4" l="1"/>
  <c r="W616" i="4" s="1"/>
  <c r="AB616" i="4" s="1"/>
  <c r="P566" i="4"/>
  <c r="W566" i="4" s="1"/>
  <c r="AB566" i="4" s="1"/>
  <c r="S607" i="4" l="1"/>
  <c r="R607" i="4"/>
  <c r="Q607" i="4"/>
  <c r="K607" i="4"/>
  <c r="V607" i="4" l="1"/>
  <c r="W607" i="4" s="1"/>
  <c r="AB607" i="4" s="1"/>
  <c r="U360" i="4"/>
  <c r="U359" i="4"/>
  <c r="S360" i="4"/>
  <c r="R360" i="4"/>
  <c r="Q360" i="4"/>
  <c r="S359" i="4"/>
  <c r="R359" i="4"/>
  <c r="Q359" i="4"/>
  <c r="N360" i="4"/>
  <c r="M360" i="4"/>
  <c r="N359" i="4"/>
  <c r="M359" i="4"/>
  <c r="K360" i="4"/>
  <c r="K359" i="4"/>
  <c r="W359" i="4" l="1"/>
  <c r="AB359" i="4" s="1"/>
  <c r="W360" i="4"/>
  <c r="AB360" i="4" s="1"/>
  <c r="U400" i="4" l="1"/>
  <c r="S400" i="4"/>
  <c r="R400" i="4"/>
  <c r="P400" i="4"/>
  <c r="M400" i="4"/>
  <c r="J400" i="4"/>
  <c r="W400" i="4" l="1"/>
  <c r="AB400" i="4" s="1"/>
  <c r="U393" i="4" l="1"/>
  <c r="AB393" i="4" l="1"/>
  <c r="P401" i="4"/>
  <c r="W393" i="4" l="1"/>
  <c r="N422" i="4"/>
  <c r="M422" i="4"/>
  <c r="K422" i="4"/>
  <c r="J422" i="4"/>
  <c r="U422" i="4"/>
  <c r="W401" i="4" l="1"/>
  <c r="AB401" i="4" s="1"/>
  <c r="U501" i="4" l="1"/>
  <c r="U503" i="4"/>
  <c r="U504" i="4"/>
  <c r="P504" i="4"/>
  <c r="Q504" i="4"/>
  <c r="R504" i="4"/>
  <c r="S504" i="4"/>
  <c r="J504" i="4"/>
  <c r="K504" i="4"/>
  <c r="M504" i="4"/>
  <c r="N504" i="4"/>
  <c r="W504" i="4" l="1"/>
  <c r="AB504" i="4" s="1"/>
  <c r="R396" i="4"/>
  <c r="P402" i="4"/>
  <c r="P100" i="4" l="1"/>
  <c r="R100" i="4"/>
  <c r="S100" i="4"/>
  <c r="W556" i="4" l="1"/>
  <c r="AB556" i="4" s="1"/>
  <c r="W402" i="4"/>
  <c r="AB402" i="4" s="1"/>
  <c r="U58" i="4" l="1"/>
  <c r="S58" i="4"/>
  <c r="R58" i="4"/>
  <c r="Q58" i="4"/>
  <c r="P58" i="4"/>
  <c r="N58" i="4"/>
  <c r="M58" i="4"/>
  <c r="K58" i="4"/>
  <c r="J58" i="4"/>
  <c r="V58" i="4" l="1"/>
  <c r="W58" i="4" s="1"/>
  <c r="AB58" i="4" s="1"/>
  <c r="O532" i="4" l="1"/>
  <c r="O531" i="4"/>
  <c r="O440" i="4"/>
  <c r="O439" i="4"/>
  <c r="O438" i="4"/>
  <c r="O437" i="4"/>
  <c r="O436" i="4"/>
  <c r="O435" i="4"/>
  <c r="O434" i="4"/>
  <c r="O433" i="4"/>
  <c r="O409" i="4"/>
  <c r="O337" i="4"/>
  <c r="O336" i="4"/>
  <c r="O335" i="4"/>
  <c r="O334" i="4"/>
  <c r="O333" i="4"/>
  <c r="O332" i="4"/>
  <c r="O331" i="4"/>
  <c r="O330" i="4"/>
  <c r="O329" i="4"/>
  <c r="O328" i="4"/>
  <c r="O327" i="4"/>
  <c r="O323" i="4"/>
  <c r="U614" i="4" l="1"/>
  <c r="U613" i="4"/>
  <c r="U610" i="4"/>
  <c r="P406" i="4" l="1"/>
  <c r="U243" i="4"/>
  <c r="U202" i="4"/>
  <c r="U182" i="4"/>
  <c r="U30" i="4"/>
  <c r="U116" i="4"/>
  <c r="U85" i="4"/>
  <c r="U84" i="4"/>
  <c r="U54" i="4"/>
  <c r="S202" i="4"/>
  <c r="S116" i="4"/>
  <c r="S85" i="4"/>
  <c r="S84" i="4"/>
  <c r="S54" i="4"/>
  <c r="S30" i="4"/>
  <c r="R116" i="4"/>
  <c r="R85" i="4"/>
  <c r="R84" i="4"/>
  <c r="R54" i="4"/>
  <c r="R30" i="4"/>
  <c r="Q85" i="4"/>
  <c r="Q54" i="4"/>
  <c r="P202" i="4"/>
  <c r="P182" i="4"/>
  <c r="P116" i="4"/>
  <c r="P85" i="4"/>
  <c r="P84" i="4"/>
  <c r="P83" i="4"/>
  <c r="P54" i="4"/>
  <c r="P30" i="4"/>
  <c r="N182" i="4"/>
  <c r="N116" i="4"/>
  <c r="N85" i="4"/>
  <c r="N84" i="4"/>
  <c r="N54" i="4"/>
  <c r="N30" i="4"/>
  <c r="M182" i="4"/>
  <c r="M116" i="4"/>
  <c r="M85" i="4"/>
  <c r="M54" i="4"/>
  <c r="M30" i="4"/>
  <c r="K182" i="4"/>
  <c r="K85" i="4"/>
  <c r="K84" i="4"/>
  <c r="K54" i="4"/>
  <c r="J243" i="4"/>
  <c r="J116" i="4"/>
  <c r="J85" i="4"/>
  <c r="J54" i="4"/>
  <c r="U404" i="4" l="1"/>
  <c r="U403" i="4"/>
  <c r="P404" i="4"/>
  <c r="Q404" i="4"/>
  <c r="R404" i="4"/>
  <c r="S404" i="4"/>
  <c r="J404" i="4"/>
  <c r="K404" i="4"/>
  <c r="M404" i="4"/>
  <c r="N404" i="4"/>
  <c r="W404" i="4" l="1"/>
  <c r="AB404" i="4" s="1"/>
  <c r="F516" i="4"/>
  <c r="S403" i="4"/>
  <c r="R403" i="4"/>
  <c r="Q403" i="4"/>
  <c r="P403" i="4"/>
  <c r="N403" i="4"/>
  <c r="M403" i="4"/>
  <c r="K403" i="4"/>
  <c r="J403" i="4"/>
  <c r="W403" i="4" l="1"/>
  <c r="AB403" i="4" s="1"/>
  <c r="U533" i="4"/>
  <c r="U324" i="4"/>
  <c r="U323" i="4"/>
  <c r="U532" i="4"/>
  <c r="U531" i="4"/>
  <c r="U440" i="4"/>
  <c r="U439" i="4"/>
  <c r="U438" i="4"/>
  <c r="U437" i="4"/>
  <c r="U436" i="4"/>
  <c r="U435" i="4"/>
  <c r="U434" i="4"/>
  <c r="U433" i="4"/>
  <c r="U409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609" i="4"/>
  <c r="U548" i="4"/>
  <c r="U539" i="4"/>
  <c r="U538" i="4"/>
  <c r="U537" i="4"/>
  <c r="U536" i="4"/>
  <c r="U535" i="4"/>
  <c r="U534" i="4"/>
  <c r="U524" i="4"/>
  <c r="U522" i="4"/>
  <c r="U497" i="4"/>
  <c r="U495" i="4"/>
  <c r="U490" i="4"/>
  <c r="U489" i="4"/>
  <c r="U488" i="4"/>
  <c r="U487" i="4"/>
  <c r="U486" i="4"/>
  <c r="U485" i="4"/>
  <c r="U484" i="4"/>
  <c r="U483" i="4"/>
  <c r="U481" i="4"/>
  <c r="U480" i="4"/>
  <c r="U479" i="4"/>
  <c r="U478" i="4"/>
  <c r="U477" i="4"/>
  <c r="U475" i="4"/>
  <c r="U474" i="4"/>
  <c r="U473" i="4"/>
  <c r="U472" i="4"/>
  <c r="U471" i="4"/>
  <c r="U469" i="4"/>
  <c r="U468" i="4"/>
  <c r="U466" i="4"/>
  <c r="U465" i="4"/>
  <c r="U463" i="4"/>
  <c r="U462" i="4"/>
  <c r="U461" i="4"/>
  <c r="U460" i="4"/>
  <c r="U459" i="4"/>
  <c r="U458" i="4"/>
  <c r="U457" i="4"/>
  <c r="U456" i="4"/>
  <c r="U455" i="4"/>
  <c r="U454" i="4"/>
  <c r="U452" i="4"/>
  <c r="U448" i="4"/>
  <c r="U446" i="4"/>
  <c r="U445" i="4"/>
  <c r="U443" i="4"/>
  <c r="U441" i="4"/>
  <c r="U432" i="4"/>
  <c r="U430" i="4"/>
  <c r="U426" i="4"/>
  <c r="U425" i="4"/>
  <c r="U424" i="4"/>
  <c r="U420" i="4"/>
  <c r="U419" i="4"/>
  <c r="U418" i="4"/>
  <c r="U416" i="4"/>
  <c r="U415" i="4"/>
  <c r="U414" i="4"/>
  <c r="U413" i="4"/>
  <c r="U412" i="4"/>
  <c r="U352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22" i="4"/>
  <c r="U321" i="4"/>
  <c r="U320" i="4"/>
  <c r="U319" i="4"/>
  <c r="U318" i="4"/>
  <c r="U500" i="4"/>
  <c r="U608" i="4"/>
  <c r="U601" i="4"/>
  <c r="U599" i="4"/>
  <c r="U592" i="4"/>
  <c r="U586" i="4"/>
  <c r="U578" i="4"/>
  <c r="U577" i="4"/>
  <c r="U574" i="4"/>
  <c r="U573" i="4"/>
  <c r="U561" i="4"/>
  <c r="U558" i="4"/>
  <c r="U557" i="4"/>
  <c r="U547" i="4"/>
  <c r="U544" i="4"/>
  <c r="U543" i="4"/>
  <c r="U542" i="4"/>
  <c r="U521" i="4"/>
  <c r="U520" i="4"/>
  <c r="U482" i="4"/>
  <c r="U431" i="4"/>
  <c r="U421" i="4"/>
  <c r="U417" i="4"/>
  <c r="U411" i="4"/>
  <c r="U410" i="4"/>
  <c r="U408" i="4"/>
  <c r="U407" i="4"/>
  <c r="U405" i="4"/>
  <c r="U390" i="4"/>
  <c r="U386" i="4"/>
  <c r="U385" i="4"/>
  <c r="U383" i="4"/>
  <c r="U382" i="4"/>
  <c r="U381" i="4"/>
  <c r="U380" i="4"/>
  <c r="U379" i="4"/>
  <c r="U378" i="4"/>
  <c r="U377" i="4"/>
  <c r="U375" i="4"/>
  <c r="U373" i="4"/>
  <c r="U372" i="4"/>
  <c r="U370" i="4"/>
  <c r="U369" i="4"/>
  <c r="U368" i="4"/>
  <c r="U362" i="4"/>
  <c r="U361" i="4"/>
  <c r="U358" i="4"/>
  <c r="U357" i="4"/>
  <c r="U356" i="4"/>
  <c r="U355" i="4"/>
  <c r="U325" i="4"/>
  <c r="U315" i="4"/>
  <c r="U310" i="4"/>
  <c r="U309" i="4"/>
  <c r="U308" i="4"/>
  <c r="R615" i="4"/>
  <c r="R613" i="4"/>
  <c r="R612" i="4"/>
  <c r="R611" i="4"/>
  <c r="R608" i="4"/>
  <c r="R601" i="4"/>
  <c r="R599" i="4"/>
  <c r="R595" i="4"/>
  <c r="R578" i="4"/>
  <c r="R577" i="4"/>
  <c r="R574" i="4"/>
  <c r="R573" i="4"/>
  <c r="R569" i="4"/>
  <c r="R563" i="4"/>
  <c r="R562" i="4"/>
  <c r="R561" i="4"/>
  <c r="R558" i="4"/>
  <c r="R557" i="4"/>
  <c r="R547" i="4"/>
  <c r="R544" i="4"/>
  <c r="R543" i="4"/>
  <c r="R542" i="4"/>
  <c r="R521" i="4"/>
  <c r="R520" i="4"/>
  <c r="R500" i="4"/>
  <c r="R482" i="4"/>
  <c r="R431" i="4"/>
  <c r="R421" i="4"/>
  <c r="R417" i="4"/>
  <c r="R411" i="4"/>
  <c r="R410" i="4"/>
  <c r="R408" i="4"/>
  <c r="R407" i="4"/>
  <c r="R405" i="4"/>
  <c r="R390" i="4"/>
  <c r="R387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2" i="4"/>
  <c r="R361" i="4"/>
  <c r="R358" i="4"/>
  <c r="R357" i="4"/>
  <c r="R356" i="4"/>
  <c r="R355" i="4"/>
  <c r="R325" i="4"/>
  <c r="R315" i="4"/>
  <c r="R314" i="4"/>
  <c r="R313" i="4"/>
  <c r="R310" i="4"/>
  <c r="R309" i="4"/>
  <c r="R308" i="4"/>
  <c r="P308" i="4"/>
  <c r="W361" i="4" l="1"/>
  <c r="AB361" i="4" s="1"/>
  <c r="N206" i="4"/>
  <c r="M206" i="4"/>
  <c r="J206" i="4"/>
  <c r="U59" i="4" l="1"/>
  <c r="R59" i="4"/>
  <c r="Q59" i="4"/>
  <c r="P59" i="4"/>
  <c r="N59" i="4"/>
  <c r="M59" i="4"/>
  <c r="K59" i="4"/>
  <c r="J59" i="4"/>
  <c r="V59" i="4" l="1"/>
  <c r="W59" i="4" s="1"/>
  <c r="AB59" i="4" s="1"/>
  <c r="W384" i="4" l="1"/>
  <c r="AB384" i="4" s="1"/>
  <c r="W385" i="4"/>
  <c r="AB385" i="4" s="1"/>
  <c r="W386" i="4"/>
  <c r="AB386" i="4" s="1"/>
  <c r="J500" i="4" l="1"/>
  <c r="K500" i="4"/>
  <c r="M500" i="4"/>
  <c r="N500" i="4"/>
  <c r="Q500" i="4"/>
  <c r="W500" i="4" l="1"/>
  <c r="AB500" i="4" s="1"/>
  <c r="U60" i="4" l="1"/>
  <c r="R60" i="4"/>
  <c r="P60" i="4"/>
  <c r="W60" i="4" l="1"/>
  <c r="AB60" i="4" s="1"/>
  <c r="H31" i="4"/>
  <c r="G31" i="4"/>
  <c r="F31" i="4"/>
  <c r="V30" i="4" l="1"/>
  <c r="W30" i="4" s="1"/>
  <c r="AB30" i="4" s="1"/>
  <c r="W31" i="4" l="1"/>
  <c r="AB31" i="4" s="1"/>
  <c r="S351" i="4"/>
  <c r="W351" i="4" l="1"/>
  <c r="AB351" i="4" s="1"/>
  <c r="K274" i="4" l="1"/>
  <c r="K273" i="4"/>
  <c r="S503" i="4" l="1"/>
  <c r="S501" i="4"/>
  <c r="R503" i="4"/>
  <c r="Q503" i="4"/>
  <c r="P503" i="4"/>
  <c r="N503" i="4"/>
  <c r="M503" i="4"/>
  <c r="K503" i="4"/>
  <c r="J503" i="4"/>
  <c r="H516" i="4"/>
  <c r="G516" i="4"/>
  <c r="W503" i="4" l="1"/>
  <c r="AB503" i="4" s="1"/>
  <c r="N501" i="4"/>
  <c r="Q501" i="4"/>
  <c r="R501" i="4"/>
  <c r="P501" i="4"/>
  <c r="K501" i="4"/>
  <c r="J501" i="4"/>
  <c r="W501" i="4" l="1"/>
  <c r="AB501" i="4" s="1"/>
  <c r="AB502" i="4" l="1"/>
  <c r="P133" i="4" l="1"/>
  <c r="R302" i="4" l="1"/>
  <c r="W302" i="4" s="1"/>
  <c r="AB302" i="4" s="1"/>
  <c r="R212" i="4" l="1"/>
  <c r="W212" i="4" s="1"/>
  <c r="AB212" i="4" s="1"/>
  <c r="U213" i="4" l="1"/>
  <c r="S213" i="4"/>
  <c r="Q213" i="4"/>
  <c r="V213" i="4" l="1"/>
  <c r="W213" i="4" s="1"/>
  <c r="AB213" i="4" s="1"/>
  <c r="H214" i="4"/>
  <c r="G214" i="4"/>
  <c r="R324" i="4" l="1"/>
  <c r="R323" i="4"/>
  <c r="P324" i="4"/>
  <c r="P323" i="4"/>
  <c r="R609" i="4"/>
  <c r="R549" i="4"/>
  <c r="R548" i="4"/>
  <c r="R546" i="4"/>
  <c r="R545" i="4"/>
  <c r="R539" i="4"/>
  <c r="R538" i="4"/>
  <c r="R537" i="4"/>
  <c r="R536" i="4"/>
  <c r="R535" i="4"/>
  <c r="R534" i="4"/>
  <c r="R529" i="4"/>
  <c r="R524" i="4"/>
  <c r="R523" i="4"/>
  <c r="R522" i="4"/>
  <c r="R499" i="4"/>
  <c r="R498" i="4"/>
  <c r="R497" i="4"/>
  <c r="R496" i="4"/>
  <c r="R495" i="4"/>
  <c r="R494" i="4"/>
  <c r="R493" i="4"/>
  <c r="R492" i="4"/>
  <c r="R491" i="4"/>
  <c r="R490" i="4"/>
  <c r="R489" i="4"/>
  <c r="R488" i="4"/>
  <c r="R487" i="4"/>
  <c r="R486" i="4"/>
  <c r="R485" i="4"/>
  <c r="R484" i="4"/>
  <c r="R483" i="4"/>
  <c r="R481" i="4"/>
  <c r="R480" i="4"/>
  <c r="R479" i="4"/>
  <c r="R478" i="4"/>
  <c r="R477" i="4"/>
  <c r="R476" i="4"/>
  <c r="R475" i="4"/>
  <c r="R474" i="4"/>
  <c r="R473" i="4"/>
  <c r="R472" i="4"/>
  <c r="R471" i="4"/>
  <c r="R470" i="4"/>
  <c r="R469" i="4"/>
  <c r="R468" i="4"/>
  <c r="R467" i="4"/>
  <c r="R466" i="4"/>
  <c r="R465" i="4"/>
  <c r="R464" i="4"/>
  <c r="R463" i="4"/>
  <c r="R462" i="4"/>
  <c r="R461" i="4"/>
  <c r="R460" i="4"/>
  <c r="R459" i="4"/>
  <c r="R458" i="4"/>
  <c r="R457" i="4"/>
  <c r="R456" i="4"/>
  <c r="R455" i="4"/>
  <c r="R454" i="4"/>
  <c r="R453" i="4"/>
  <c r="R452" i="4"/>
  <c r="R451" i="4"/>
  <c r="R450" i="4"/>
  <c r="R449" i="4"/>
  <c r="R448" i="4"/>
  <c r="R447" i="4"/>
  <c r="R446" i="4"/>
  <c r="R445" i="4"/>
  <c r="R444" i="4"/>
  <c r="R443" i="4"/>
  <c r="R442" i="4"/>
  <c r="R441" i="4"/>
  <c r="R432" i="4"/>
  <c r="R430" i="4"/>
  <c r="R429" i="4"/>
  <c r="R427" i="4"/>
  <c r="W427" i="4" s="1"/>
  <c r="AB427" i="4" s="1"/>
  <c r="R426" i="4"/>
  <c r="R425" i="4"/>
  <c r="R424" i="4"/>
  <c r="R423" i="4"/>
  <c r="R420" i="4"/>
  <c r="R419" i="4"/>
  <c r="R418" i="4"/>
  <c r="R416" i="4"/>
  <c r="R415" i="4"/>
  <c r="R414" i="4"/>
  <c r="R413" i="4"/>
  <c r="R412" i="4"/>
  <c r="R352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22" i="4"/>
  <c r="R321" i="4"/>
  <c r="R320" i="4"/>
  <c r="R319" i="4"/>
  <c r="P609" i="4"/>
  <c r="P549" i="4"/>
  <c r="P548" i="4"/>
  <c r="P546" i="4"/>
  <c r="P545" i="4"/>
  <c r="P539" i="4"/>
  <c r="P538" i="4"/>
  <c r="P537" i="4"/>
  <c r="P536" i="4"/>
  <c r="P535" i="4"/>
  <c r="P534" i="4"/>
  <c r="P529" i="4"/>
  <c r="P524" i="4"/>
  <c r="P523" i="4"/>
  <c r="P522" i="4"/>
  <c r="P499" i="4"/>
  <c r="P498" i="4"/>
  <c r="P497" i="4"/>
  <c r="P496" i="4"/>
  <c r="P495" i="4"/>
  <c r="P494" i="4"/>
  <c r="P493" i="4"/>
  <c r="P492" i="4"/>
  <c r="P491" i="4"/>
  <c r="P490" i="4"/>
  <c r="P489" i="4"/>
  <c r="P488" i="4"/>
  <c r="P487" i="4"/>
  <c r="P486" i="4"/>
  <c r="P485" i="4"/>
  <c r="P484" i="4"/>
  <c r="P483" i="4"/>
  <c r="P481" i="4"/>
  <c r="P480" i="4"/>
  <c r="P479" i="4"/>
  <c r="P478" i="4"/>
  <c r="P477" i="4"/>
  <c r="P476" i="4"/>
  <c r="P475" i="4"/>
  <c r="P474" i="4"/>
  <c r="P473" i="4"/>
  <c r="P472" i="4"/>
  <c r="P471" i="4"/>
  <c r="P470" i="4"/>
  <c r="P469" i="4"/>
  <c r="P468" i="4"/>
  <c r="P467" i="4"/>
  <c r="P466" i="4"/>
  <c r="P465" i="4"/>
  <c r="P464" i="4"/>
  <c r="P463" i="4"/>
  <c r="P462" i="4"/>
  <c r="P461" i="4"/>
  <c r="P460" i="4"/>
  <c r="P459" i="4"/>
  <c r="P458" i="4"/>
  <c r="P457" i="4"/>
  <c r="P456" i="4"/>
  <c r="P455" i="4"/>
  <c r="P454" i="4"/>
  <c r="P453" i="4"/>
  <c r="P452" i="4"/>
  <c r="P451" i="4"/>
  <c r="P450" i="4"/>
  <c r="P449" i="4"/>
  <c r="P448" i="4"/>
  <c r="P447" i="4"/>
  <c r="P446" i="4"/>
  <c r="P445" i="4"/>
  <c r="P444" i="4"/>
  <c r="P443" i="4"/>
  <c r="P442" i="4"/>
  <c r="P441" i="4"/>
  <c r="P432" i="4"/>
  <c r="P430" i="4"/>
  <c r="P429" i="4"/>
  <c r="P426" i="4"/>
  <c r="P425" i="4"/>
  <c r="P424" i="4"/>
  <c r="P423" i="4"/>
  <c r="P420" i="4"/>
  <c r="P419" i="4"/>
  <c r="P418" i="4"/>
  <c r="P416" i="4"/>
  <c r="P415" i="4"/>
  <c r="P414" i="4"/>
  <c r="P413" i="4"/>
  <c r="P412" i="4"/>
  <c r="P352" i="4"/>
  <c r="P350" i="4"/>
  <c r="P349" i="4"/>
  <c r="P348" i="4"/>
  <c r="P347" i="4"/>
  <c r="P346" i="4"/>
  <c r="P345" i="4"/>
  <c r="P344" i="4"/>
  <c r="P343" i="4"/>
  <c r="P342" i="4"/>
  <c r="P341" i="4"/>
  <c r="P340" i="4"/>
  <c r="P339" i="4"/>
  <c r="P322" i="4"/>
  <c r="P321" i="4"/>
  <c r="P320" i="4"/>
  <c r="P319" i="4"/>
  <c r="R318" i="4"/>
  <c r="P318" i="4"/>
  <c r="W387" i="4" l="1"/>
  <c r="W383" i="4"/>
  <c r="W382" i="4"/>
  <c r="W381" i="4"/>
  <c r="W380" i="4"/>
  <c r="W379" i="4"/>
  <c r="W378" i="4"/>
  <c r="W377" i="4"/>
  <c r="W376" i="4"/>
  <c r="W375" i="4"/>
  <c r="W374" i="4"/>
  <c r="H316" i="4" l="1"/>
  <c r="G316" i="4"/>
  <c r="F316" i="4"/>
  <c r="V54" i="4" l="1"/>
  <c r="W54" i="4" s="1"/>
  <c r="N255" i="4"/>
  <c r="AB54" i="4" l="1"/>
  <c r="U62" i="4" l="1"/>
  <c r="S62" i="4"/>
  <c r="R62" i="4"/>
  <c r="Q62" i="4"/>
  <c r="P62" i="4"/>
  <c r="N62" i="4"/>
  <c r="M62" i="4"/>
  <c r="K62" i="4"/>
  <c r="J62" i="4"/>
  <c r="U61" i="4"/>
  <c r="S61" i="4"/>
  <c r="R61" i="4"/>
  <c r="Q61" i="4"/>
  <c r="P61" i="4"/>
  <c r="N61" i="4"/>
  <c r="M61" i="4"/>
  <c r="K61" i="4"/>
  <c r="J61" i="4"/>
  <c r="V62" i="4" l="1"/>
  <c r="W62" i="4" s="1"/>
  <c r="AB62" i="4" s="1"/>
  <c r="V61" i="4"/>
  <c r="W61" i="4" s="1"/>
  <c r="W396" i="4"/>
  <c r="AB396" i="4" l="1"/>
  <c r="AB61" i="4"/>
  <c r="P17" i="4" l="1"/>
  <c r="O230" i="4"/>
  <c r="O229" i="4"/>
  <c r="U303" i="4" l="1"/>
  <c r="U301" i="4"/>
  <c r="U299" i="4"/>
  <c r="U298" i="4"/>
  <c r="U294" i="4"/>
  <c r="U238" i="4"/>
  <c r="U217" i="4"/>
  <c r="U197" i="4"/>
  <c r="U194" i="4"/>
  <c r="U193" i="4"/>
  <c r="U192" i="4"/>
  <c r="U189" i="4"/>
  <c r="U115" i="4"/>
  <c r="U114" i="4"/>
  <c r="U111" i="4"/>
  <c r="U110" i="4"/>
  <c r="U109" i="4"/>
  <c r="U106" i="4"/>
  <c r="U99" i="4"/>
  <c r="U78" i="4"/>
  <c r="U75" i="4"/>
  <c r="U38" i="4"/>
  <c r="U37" i="4"/>
  <c r="U36" i="4"/>
  <c r="S238" i="4"/>
  <c r="S217" i="4"/>
  <c r="S193" i="4"/>
  <c r="S192" i="4"/>
  <c r="S189" i="4"/>
  <c r="S111" i="4"/>
  <c r="S110" i="4"/>
  <c r="S109" i="4"/>
  <c r="S106" i="4"/>
  <c r="S78" i="4"/>
  <c r="S38" i="4"/>
  <c r="S37" i="4"/>
  <c r="R238" i="4"/>
  <c r="R217" i="4"/>
  <c r="R193" i="4"/>
  <c r="R192" i="4"/>
  <c r="R189" i="4"/>
  <c r="R180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0" i="4"/>
  <c r="R149" i="4"/>
  <c r="R148" i="4"/>
  <c r="R147" i="4"/>
  <c r="R142" i="4"/>
  <c r="R141" i="4"/>
  <c r="R140" i="4"/>
  <c r="R139" i="4"/>
  <c r="R138" i="4"/>
  <c r="R137" i="4"/>
  <c r="R136" i="4"/>
  <c r="R134" i="4"/>
  <c r="R127" i="4"/>
  <c r="R126" i="4"/>
  <c r="R124" i="4"/>
  <c r="R118" i="4"/>
  <c r="R111" i="4"/>
  <c r="R110" i="4"/>
  <c r="R109" i="4"/>
  <c r="R106" i="4"/>
  <c r="R97" i="4"/>
  <c r="R96" i="4"/>
  <c r="R94" i="4"/>
  <c r="R91" i="4"/>
  <c r="R88" i="4"/>
  <c r="R82" i="4"/>
  <c r="R78" i="4"/>
  <c r="R38" i="4"/>
  <c r="R37" i="4"/>
  <c r="Q238" i="4"/>
  <c r="Q217" i="4"/>
  <c r="Q193" i="4"/>
  <c r="Q192" i="4"/>
  <c r="Q189" i="4"/>
  <c r="Q111" i="4"/>
  <c r="Q110" i="4"/>
  <c r="Q109" i="4"/>
  <c r="Q106" i="4"/>
  <c r="Q78" i="4"/>
  <c r="Q38" i="4"/>
  <c r="Q37" i="4"/>
  <c r="P303" i="4"/>
  <c r="V303" i="4" s="1"/>
  <c r="P301" i="4"/>
  <c r="V301" i="4" s="1"/>
  <c r="P299" i="4"/>
  <c r="V299" i="4" s="1"/>
  <c r="P298" i="4"/>
  <c r="V298" i="4" s="1"/>
  <c r="P294" i="4"/>
  <c r="V294" i="4" s="1"/>
  <c r="P217" i="4"/>
  <c r="P205" i="4"/>
  <c r="P197" i="4"/>
  <c r="V197" i="4" s="1"/>
  <c r="P194" i="4"/>
  <c r="P192" i="4"/>
  <c r="P189" i="4"/>
  <c r="P180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2" i="4"/>
  <c r="P150" i="4"/>
  <c r="P149" i="4"/>
  <c r="P148" i="4"/>
  <c r="P147" i="4"/>
  <c r="P142" i="4"/>
  <c r="P141" i="4"/>
  <c r="P140" i="4"/>
  <c r="P139" i="4"/>
  <c r="P138" i="4"/>
  <c r="P137" i="4"/>
  <c r="P136" i="4"/>
  <c r="P134" i="4"/>
  <c r="P127" i="4"/>
  <c r="P126" i="4"/>
  <c r="P124" i="4"/>
  <c r="P118" i="4"/>
  <c r="P111" i="4"/>
  <c r="P110" i="4"/>
  <c r="P109" i="4"/>
  <c r="P99" i="4"/>
  <c r="P97" i="4"/>
  <c r="P96" i="4"/>
  <c r="P94" i="4"/>
  <c r="P91" i="4"/>
  <c r="P88" i="4"/>
  <c r="P87" i="4"/>
  <c r="P82" i="4"/>
  <c r="P78" i="4"/>
  <c r="P75" i="4"/>
  <c r="V75" i="4" s="1"/>
  <c r="P38" i="4"/>
  <c r="P37" i="4"/>
  <c r="N238" i="4"/>
  <c r="N217" i="4"/>
  <c r="N194" i="4"/>
  <c r="N193" i="4"/>
  <c r="N192" i="4"/>
  <c r="N189" i="4"/>
  <c r="N111" i="4"/>
  <c r="N110" i="4"/>
  <c r="N109" i="4"/>
  <c r="N78" i="4"/>
  <c r="N38" i="4"/>
  <c r="N37" i="4"/>
  <c r="M238" i="4"/>
  <c r="M217" i="4"/>
  <c r="M194" i="4"/>
  <c r="M193" i="4"/>
  <c r="M192" i="4"/>
  <c r="M189" i="4"/>
  <c r="M115" i="4"/>
  <c r="M114" i="4"/>
  <c r="M111" i="4"/>
  <c r="M110" i="4"/>
  <c r="M109" i="4"/>
  <c r="M99" i="4"/>
  <c r="M78" i="4"/>
  <c r="M38" i="4"/>
  <c r="M37" i="4"/>
  <c r="K238" i="4"/>
  <c r="K193" i="4"/>
  <c r="K192" i="4"/>
  <c r="K189" i="4"/>
  <c r="K111" i="4"/>
  <c r="K110" i="4"/>
  <c r="K109" i="4"/>
  <c r="K99" i="4"/>
  <c r="K78" i="4"/>
  <c r="K38" i="4"/>
  <c r="K37" i="4"/>
  <c r="J217" i="4"/>
  <c r="J192" i="4"/>
  <c r="J189" i="4"/>
  <c r="J111" i="4"/>
  <c r="J110" i="4"/>
  <c r="J109" i="4"/>
  <c r="J106" i="4"/>
  <c r="J99" i="4"/>
  <c r="J78" i="4"/>
  <c r="J38" i="4"/>
  <c r="J37" i="4"/>
  <c r="U300" i="4"/>
  <c r="U297" i="4"/>
  <c r="U296" i="4"/>
  <c r="U295" i="4"/>
  <c r="U293" i="4"/>
  <c r="U287" i="4"/>
  <c r="U286" i="4"/>
  <c r="U280" i="4"/>
  <c r="U277" i="4"/>
  <c r="U274" i="4"/>
  <c r="U273" i="4"/>
  <c r="U270" i="4"/>
  <c r="U269" i="4"/>
  <c r="U268" i="4"/>
  <c r="U265" i="4"/>
  <c r="U261" i="4"/>
  <c r="U260" i="4"/>
  <c r="U259" i="4"/>
  <c r="U255" i="4"/>
  <c r="U252" i="4"/>
  <c r="U249" i="4"/>
  <c r="U248" i="4"/>
  <c r="U245" i="4"/>
  <c r="U244" i="4"/>
  <c r="U242" i="4"/>
  <c r="U241" i="4"/>
  <c r="U226" i="4"/>
  <c r="U223" i="4"/>
  <c r="U220" i="4"/>
  <c r="U219" i="4"/>
  <c r="U218" i="4"/>
  <c r="U204" i="4"/>
  <c r="U203" i="4"/>
  <c r="U201" i="4"/>
  <c r="U200" i="4"/>
  <c r="U199" i="4"/>
  <c r="U198" i="4"/>
  <c r="U196" i="4"/>
  <c r="U195" i="4"/>
  <c r="U191" i="4"/>
  <c r="U190" i="4"/>
  <c r="U188" i="4"/>
  <c r="U187" i="4"/>
  <c r="U186" i="4"/>
  <c r="U185" i="4"/>
  <c r="U184" i="4"/>
  <c r="U183" i="4"/>
  <c r="U181" i="4"/>
  <c r="U146" i="4"/>
  <c r="U117" i="4"/>
  <c r="U113" i="4"/>
  <c r="U112" i="4"/>
  <c r="U108" i="4"/>
  <c r="U107" i="4"/>
  <c r="U105" i="4"/>
  <c r="U104" i="4"/>
  <c r="U103" i="4"/>
  <c r="U102" i="4"/>
  <c r="U101" i="4"/>
  <c r="U100" i="4"/>
  <c r="U98" i="4"/>
  <c r="U90" i="4"/>
  <c r="U79" i="4"/>
  <c r="U77" i="4"/>
  <c r="U76" i="4"/>
  <c r="U74" i="4"/>
  <c r="U73" i="4"/>
  <c r="U72" i="4"/>
  <c r="U71" i="4"/>
  <c r="U70" i="4"/>
  <c r="U69" i="4"/>
  <c r="U68" i="4"/>
  <c r="U67" i="4"/>
  <c r="U66" i="4"/>
  <c r="U65" i="4"/>
  <c r="U64" i="4"/>
  <c r="U63" i="4"/>
  <c r="U51" i="4"/>
  <c r="U48" i="4"/>
  <c r="U47" i="4"/>
  <c r="U46" i="4"/>
  <c r="U45" i="4"/>
  <c r="U44" i="4"/>
  <c r="U42" i="4"/>
  <c r="U41" i="4"/>
  <c r="U33" i="4"/>
  <c r="U27" i="4"/>
  <c r="U26" i="4"/>
  <c r="U23" i="4"/>
  <c r="V38" i="4" l="1"/>
  <c r="V111" i="4"/>
  <c r="V194" i="4"/>
  <c r="V84" i="4"/>
  <c r="V109" i="4"/>
  <c r="V115" i="4"/>
  <c r="V193" i="4"/>
  <c r="V99" i="4"/>
  <c r="V192" i="4"/>
  <c r="V110" i="4"/>
  <c r="V85" i="4"/>
  <c r="V189" i="4"/>
  <c r="V238" i="4"/>
  <c r="V37" i="4"/>
  <c r="V217" i="4"/>
  <c r="V78" i="4"/>
  <c r="V106" i="4"/>
  <c r="V114" i="4"/>
  <c r="S293" i="4"/>
  <c r="S287" i="4"/>
  <c r="S280" i="4"/>
  <c r="S274" i="4"/>
  <c r="S273" i="4"/>
  <c r="S270" i="4"/>
  <c r="S268" i="4"/>
  <c r="S255" i="4"/>
  <c r="S252" i="4"/>
  <c r="S249" i="4"/>
  <c r="S248" i="4"/>
  <c r="S245" i="4"/>
  <c r="S223" i="4"/>
  <c r="S220" i="4"/>
  <c r="S219" i="4"/>
  <c r="S218" i="4"/>
  <c r="S204" i="4"/>
  <c r="S203" i="4"/>
  <c r="S201" i="4"/>
  <c r="S200" i="4"/>
  <c r="S199" i="4"/>
  <c r="S198" i="4"/>
  <c r="S196" i="4"/>
  <c r="S195" i="4"/>
  <c r="S191" i="4"/>
  <c r="S190" i="4"/>
  <c r="S188" i="4"/>
  <c r="S187" i="4"/>
  <c r="S186" i="4"/>
  <c r="S185" i="4"/>
  <c r="S184" i="4"/>
  <c r="S183" i="4"/>
  <c r="S146" i="4"/>
  <c r="S117" i="4"/>
  <c r="S113" i="4"/>
  <c r="S108" i="4"/>
  <c r="S107" i="4"/>
  <c r="S105" i="4"/>
  <c r="S104" i="4"/>
  <c r="S103" i="4"/>
  <c r="S102" i="4"/>
  <c r="S101" i="4"/>
  <c r="S90" i="4"/>
  <c r="S77" i="4"/>
  <c r="S76" i="4"/>
  <c r="S74" i="4"/>
  <c r="S73" i="4"/>
  <c r="S72" i="4"/>
  <c r="S71" i="4"/>
  <c r="S70" i="4"/>
  <c r="S69" i="4"/>
  <c r="S68" i="4"/>
  <c r="S67" i="4"/>
  <c r="S66" i="4"/>
  <c r="S65" i="4"/>
  <c r="S64" i="4"/>
  <c r="S63" i="4"/>
  <c r="S42" i="4"/>
  <c r="S33" i="4"/>
  <c r="S27" i="4"/>
  <c r="S26" i="4"/>
  <c r="S23" i="4"/>
  <c r="R293" i="4"/>
  <c r="R287" i="4"/>
  <c r="R283" i="4"/>
  <c r="R280" i="4"/>
  <c r="R274" i="4"/>
  <c r="R273" i="4"/>
  <c r="R270" i="4"/>
  <c r="R268" i="4"/>
  <c r="R265" i="4"/>
  <c r="R255" i="4"/>
  <c r="R252" i="4"/>
  <c r="R249" i="4"/>
  <c r="R248" i="4"/>
  <c r="R245" i="4"/>
  <c r="R244" i="4"/>
  <c r="R242" i="4"/>
  <c r="R241" i="4"/>
  <c r="R223" i="4"/>
  <c r="R220" i="4"/>
  <c r="R219" i="4"/>
  <c r="R218" i="4"/>
  <c r="R204" i="4"/>
  <c r="R203" i="4"/>
  <c r="R201" i="4"/>
  <c r="R200" i="4"/>
  <c r="R199" i="4"/>
  <c r="R198" i="4"/>
  <c r="R196" i="4"/>
  <c r="R195" i="4"/>
  <c r="R191" i="4"/>
  <c r="R190" i="4"/>
  <c r="R188" i="4"/>
  <c r="R187" i="4"/>
  <c r="R186" i="4"/>
  <c r="R185" i="4"/>
  <c r="R184" i="4"/>
  <c r="R183" i="4"/>
  <c r="R181" i="4"/>
  <c r="R179" i="4"/>
  <c r="R155" i="4"/>
  <c r="R154" i="4"/>
  <c r="R153" i="4"/>
  <c r="R151" i="4"/>
  <c r="R146" i="4"/>
  <c r="R145" i="4"/>
  <c r="R144" i="4"/>
  <c r="R143" i="4"/>
  <c r="R135" i="4"/>
  <c r="R132" i="4"/>
  <c r="R131" i="4"/>
  <c r="R130" i="4"/>
  <c r="R129" i="4"/>
  <c r="R128" i="4"/>
  <c r="R125" i="4"/>
  <c r="R123" i="4"/>
  <c r="R122" i="4"/>
  <c r="R121" i="4"/>
  <c r="R120" i="4"/>
  <c r="R119" i="4"/>
  <c r="R117" i="4"/>
  <c r="R113" i="4"/>
  <c r="R108" i="4"/>
  <c r="R107" i="4"/>
  <c r="R105" i="4"/>
  <c r="R104" i="4"/>
  <c r="R103" i="4"/>
  <c r="R102" i="4"/>
  <c r="R101" i="4"/>
  <c r="R95" i="4"/>
  <c r="R93" i="4"/>
  <c r="R92" i="4"/>
  <c r="R90" i="4"/>
  <c r="R81" i="4"/>
  <c r="R79" i="4"/>
  <c r="R77" i="4"/>
  <c r="R76" i="4"/>
  <c r="R74" i="4"/>
  <c r="R73" i="4"/>
  <c r="R72" i="4"/>
  <c r="R71" i="4"/>
  <c r="R70" i="4"/>
  <c r="R69" i="4"/>
  <c r="R68" i="4"/>
  <c r="R67" i="4"/>
  <c r="R66" i="4"/>
  <c r="R65" i="4"/>
  <c r="R64" i="4"/>
  <c r="R63" i="4"/>
  <c r="R42" i="4"/>
  <c r="R41" i="4"/>
  <c r="R33" i="4"/>
  <c r="R27" i="4"/>
  <c r="R26" i="4"/>
  <c r="R23" i="4"/>
  <c r="Q293" i="4"/>
  <c r="Q255" i="4"/>
  <c r="Q252" i="4"/>
  <c r="Q249" i="4"/>
  <c r="Q248" i="4"/>
  <c r="Q245" i="4"/>
  <c r="Q223" i="4"/>
  <c r="Q198" i="4"/>
  <c r="Q188" i="4"/>
  <c r="Q186" i="4"/>
  <c r="Q107" i="4"/>
  <c r="Q103" i="4"/>
  <c r="Q77" i="4"/>
  <c r="Q73" i="4"/>
  <c r="Q69" i="4"/>
  <c r="Q68" i="4"/>
  <c r="Q67" i="4"/>
  <c r="Q64" i="4"/>
  <c r="P300" i="4"/>
  <c r="V300" i="4" s="1"/>
  <c r="P297" i="4"/>
  <c r="V297" i="4" s="1"/>
  <c r="P296" i="4"/>
  <c r="V296" i="4" s="1"/>
  <c r="P295" i="4"/>
  <c r="V295" i="4" s="1"/>
  <c r="P293" i="4"/>
  <c r="P290" i="4"/>
  <c r="P287" i="4"/>
  <c r="P286" i="4"/>
  <c r="V286" i="4" s="1"/>
  <c r="P283" i="4"/>
  <c r="P280" i="4"/>
  <c r="P274" i="4"/>
  <c r="P273" i="4"/>
  <c r="P270" i="4"/>
  <c r="P269" i="4"/>
  <c r="V269" i="4" s="1"/>
  <c r="P268" i="4"/>
  <c r="P265" i="4"/>
  <c r="P261" i="4"/>
  <c r="P260" i="4"/>
  <c r="P259" i="4"/>
  <c r="V259" i="4" s="1"/>
  <c r="P258" i="4"/>
  <c r="P255" i="4"/>
  <c r="P252" i="4"/>
  <c r="P248" i="4"/>
  <c r="P245" i="4"/>
  <c r="P244" i="4"/>
  <c r="P242" i="4"/>
  <c r="P241" i="4"/>
  <c r="P223" i="4"/>
  <c r="P220" i="4"/>
  <c r="P216" i="4"/>
  <c r="P204" i="4"/>
  <c r="P203" i="4"/>
  <c r="P201" i="4"/>
  <c r="P200" i="4"/>
  <c r="P199" i="4"/>
  <c r="P198" i="4"/>
  <c r="P196" i="4"/>
  <c r="P195" i="4"/>
  <c r="P191" i="4"/>
  <c r="P190" i="4"/>
  <c r="P188" i="4"/>
  <c r="P187" i="4"/>
  <c r="P186" i="4"/>
  <c r="P185" i="4"/>
  <c r="P184" i="4"/>
  <c r="P183" i="4"/>
  <c r="P181" i="4"/>
  <c r="P179" i="4"/>
  <c r="P155" i="4"/>
  <c r="P154" i="4"/>
  <c r="P153" i="4"/>
  <c r="P151" i="4"/>
  <c r="P146" i="4"/>
  <c r="P145" i="4"/>
  <c r="P144" i="4"/>
  <c r="P143" i="4"/>
  <c r="P135" i="4"/>
  <c r="P132" i="4"/>
  <c r="P131" i="4"/>
  <c r="P130" i="4"/>
  <c r="P129" i="4"/>
  <c r="P128" i="4"/>
  <c r="P125" i="4"/>
  <c r="P123" i="4"/>
  <c r="P122" i="4"/>
  <c r="P121" i="4"/>
  <c r="P120" i="4"/>
  <c r="P119" i="4"/>
  <c r="P117" i="4"/>
  <c r="P113" i="4"/>
  <c r="P108" i="4"/>
  <c r="P105" i="4"/>
  <c r="P104" i="4"/>
  <c r="P103" i="4"/>
  <c r="P102" i="4"/>
  <c r="P101" i="4"/>
  <c r="P95" i="4"/>
  <c r="P93" i="4"/>
  <c r="P92" i="4"/>
  <c r="P90" i="4"/>
  <c r="P86" i="4"/>
  <c r="P81" i="4"/>
  <c r="P80" i="4"/>
  <c r="P79" i="4"/>
  <c r="P77" i="4"/>
  <c r="P76" i="4"/>
  <c r="P74" i="4"/>
  <c r="P73" i="4"/>
  <c r="P72" i="4"/>
  <c r="P71" i="4"/>
  <c r="P70" i="4"/>
  <c r="P69" i="4"/>
  <c r="P68" i="4"/>
  <c r="P67" i="4"/>
  <c r="P66" i="4"/>
  <c r="P65" i="4"/>
  <c r="P64" i="4"/>
  <c r="P63" i="4"/>
  <c r="P51" i="4"/>
  <c r="V51" i="4" s="1"/>
  <c r="P48" i="4"/>
  <c r="P47" i="4"/>
  <c r="V47" i="4" s="1"/>
  <c r="P46" i="4"/>
  <c r="V46" i="4" s="1"/>
  <c r="P45" i="4"/>
  <c r="V45" i="4" s="1"/>
  <c r="P44" i="4"/>
  <c r="V44" i="4" s="1"/>
  <c r="P43" i="4"/>
  <c r="P42" i="4"/>
  <c r="P41" i="4"/>
  <c r="P33" i="4"/>
  <c r="P27" i="4"/>
  <c r="P26" i="4"/>
  <c r="P23" i="4"/>
  <c r="N287" i="4"/>
  <c r="N280" i="4"/>
  <c r="N274" i="4"/>
  <c r="N273" i="4"/>
  <c r="N261" i="4"/>
  <c r="N260" i="4"/>
  <c r="N248" i="4"/>
  <c r="N219" i="4"/>
  <c r="N218" i="4"/>
  <c r="N204" i="4"/>
  <c r="N201" i="4"/>
  <c r="N199" i="4"/>
  <c r="N198" i="4"/>
  <c r="N196" i="4"/>
  <c r="N195" i="4"/>
  <c r="N191" i="4"/>
  <c r="N190" i="4"/>
  <c r="N188" i="4"/>
  <c r="N186" i="4"/>
  <c r="N185" i="4"/>
  <c r="N184" i="4"/>
  <c r="N183" i="4"/>
  <c r="N146" i="4"/>
  <c r="N117" i="4"/>
  <c r="N108" i="4"/>
  <c r="N107" i="4"/>
  <c r="N105" i="4"/>
  <c r="N104" i="4"/>
  <c r="N103" i="4"/>
  <c r="N102" i="4"/>
  <c r="N101" i="4"/>
  <c r="N90" i="4"/>
  <c r="N76" i="4"/>
  <c r="N74" i="4"/>
  <c r="N73" i="4"/>
  <c r="N72" i="4"/>
  <c r="N69" i="4"/>
  <c r="N68" i="4"/>
  <c r="N67" i="4"/>
  <c r="N65" i="4"/>
  <c r="N64" i="4"/>
  <c r="M293" i="4"/>
  <c r="M287" i="4"/>
  <c r="M280" i="4"/>
  <c r="M274" i="4"/>
  <c r="M273" i="4"/>
  <c r="M265" i="4"/>
  <c r="M255" i="4"/>
  <c r="M248" i="4"/>
  <c r="M245" i="4"/>
  <c r="M223" i="4"/>
  <c r="M220" i="4"/>
  <c r="M219" i="4"/>
  <c r="M218" i="4"/>
  <c r="M204" i="4"/>
  <c r="M201" i="4"/>
  <c r="M199" i="4"/>
  <c r="M198" i="4"/>
  <c r="M196" i="4"/>
  <c r="M195" i="4"/>
  <c r="M191" i="4"/>
  <c r="M190" i="4"/>
  <c r="M188" i="4"/>
  <c r="M186" i="4"/>
  <c r="M185" i="4"/>
  <c r="M184" i="4"/>
  <c r="M146" i="4"/>
  <c r="M117" i="4"/>
  <c r="M108" i="4"/>
  <c r="M107" i="4"/>
  <c r="M105" i="4"/>
  <c r="M104" i="4"/>
  <c r="M103" i="4"/>
  <c r="M102" i="4"/>
  <c r="M101" i="4"/>
  <c r="M90" i="4"/>
  <c r="M74" i="4"/>
  <c r="M73" i="4"/>
  <c r="M72" i="4"/>
  <c r="M69" i="4"/>
  <c r="M68" i="4"/>
  <c r="M67" i="4"/>
  <c r="M66" i="4"/>
  <c r="M64" i="4"/>
  <c r="K293" i="4"/>
  <c r="K287" i="4"/>
  <c r="K248" i="4"/>
  <c r="K220" i="4"/>
  <c r="K204" i="4"/>
  <c r="K195" i="4"/>
  <c r="K188" i="4"/>
  <c r="K184" i="4"/>
  <c r="K181" i="4"/>
  <c r="K117" i="4"/>
  <c r="K107" i="4"/>
  <c r="K105" i="4"/>
  <c r="K104" i="4"/>
  <c r="K103" i="4"/>
  <c r="K101" i="4"/>
  <c r="K90" i="4"/>
  <c r="K74" i="4"/>
  <c r="K73" i="4"/>
  <c r="K72" i="4"/>
  <c r="K68" i="4"/>
  <c r="K66" i="4"/>
  <c r="K64" i="4"/>
  <c r="J287" i="4"/>
  <c r="J280" i="4"/>
  <c r="J277" i="4"/>
  <c r="V277" i="4" s="1"/>
  <c r="J274" i="4"/>
  <c r="J273" i="4"/>
  <c r="J270" i="4"/>
  <c r="J268" i="4"/>
  <c r="J265" i="4"/>
  <c r="J255" i="4"/>
  <c r="J248" i="4"/>
  <c r="J245" i="4"/>
  <c r="J219" i="4"/>
  <c r="J218" i="4"/>
  <c r="J204" i="4"/>
  <c r="J201" i="4"/>
  <c r="J200" i="4"/>
  <c r="J199" i="4"/>
  <c r="J198" i="4"/>
  <c r="J196" i="4"/>
  <c r="J195" i="4"/>
  <c r="J191" i="4"/>
  <c r="J190" i="4"/>
  <c r="J188" i="4"/>
  <c r="J187" i="4"/>
  <c r="J186" i="4"/>
  <c r="J185" i="4"/>
  <c r="J184" i="4"/>
  <c r="J183" i="4"/>
  <c r="J181" i="4"/>
  <c r="J146" i="4"/>
  <c r="J117" i="4"/>
  <c r="J113" i="4"/>
  <c r="J112" i="4"/>
  <c r="J108" i="4"/>
  <c r="J107" i="4"/>
  <c r="J105" i="4"/>
  <c r="J104" i="4"/>
  <c r="J103" i="4"/>
  <c r="J102" i="4"/>
  <c r="J101" i="4"/>
  <c r="J100" i="4"/>
  <c r="J90" i="4"/>
  <c r="J77" i="4"/>
  <c r="J74" i="4"/>
  <c r="J73" i="4"/>
  <c r="J69" i="4"/>
  <c r="J68" i="4"/>
  <c r="J67" i="4"/>
  <c r="J66" i="4"/>
  <c r="J65" i="4"/>
  <c r="J64" i="4"/>
  <c r="J63" i="4"/>
  <c r="J42" i="4"/>
  <c r="J41" i="4"/>
  <c r="J33" i="4"/>
  <c r="J26" i="4"/>
  <c r="J23" i="4"/>
  <c r="V26" i="4" l="1"/>
  <c r="V64" i="4"/>
  <c r="V79" i="4"/>
  <c r="V260" i="4"/>
  <c r="V249" i="4"/>
  <c r="V42" i="4"/>
  <c r="V146" i="4"/>
  <c r="V200" i="4"/>
  <c r="V41" i="4"/>
  <c r="V63" i="4"/>
  <c r="V67" i="4"/>
  <c r="V74" i="4"/>
  <c r="V103" i="4"/>
  <c r="V105" i="4"/>
  <c r="V117" i="4"/>
  <c r="V184" i="4"/>
  <c r="V188" i="4"/>
  <c r="V196" i="4"/>
  <c r="V201" i="4"/>
  <c r="V206" i="4"/>
  <c r="V255" i="4"/>
  <c r="V274" i="4"/>
  <c r="V287" i="4"/>
  <c r="V68" i="4"/>
  <c r="V77" i="4"/>
  <c r="V100" i="4"/>
  <c r="V104" i="4"/>
  <c r="V185" i="4"/>
  <c r="V190" i="4"/>
  <c r="V198" i="4"/>
  <c r="V203" i="4"/>
  <c r="V218" i="4"/>
  <c r="V245" i="4"/>
  <c r="V268" i="4"/>
  <c r="V76" i="4"/>
  <c r="V293" i="4"/>
  <c r="V244" i="4"/>
  <c r="V65" i="4"/>
  <c r="V69" i="4"/>
  <c r="V90" i="4"/>
  <c r="V101" i="4"/>
  <c r="V107" i="4"/>
  <c r="V113" i="4"/>
  <c r="V181" i="4"/>
  <c r="V186" i="4"/>
  <c r="V191" i="4"/>
  <c r="V199" i="4"/>
  <c r="V219" i="4"/>
  <c r="V248" i="4"/>
  <c r="V270" i="4"/>
  <c r="V72" i="4"/>
  <c r="V220" i="4"/>
  <c r="V70" i="4"/>
  <c r="V223" i="4"/>
  <c r="V241" i="4"/>
  <c r="V33" i="4"/>
  <c r="V66" i="4"/>
  <c r="V73" i="4"/>
  <c r="V98" i="4"/>
  <c r="V102" i="4"/>
  <c r="V108" i="4"/>
  <c r="V116" i="4"/>
  <c r="V183" i="4"/>
  <c r="V187" i="4"/>
  <c r="V195" i="4"/>
  <c r="V204" i="4"/>
  <c r="V252" i="4"/>
  <c r="V265" i="4"/>
  <c r="V273" i="4"/>
  <c r="V280" i="4"/>
  <c r="V71" i="4"/>
  <c r="V261" i="4"/>
  <c r="V242" i="4"/>
  <c r="W85" i="4" l="1"/>
  <c r="AB85" i="4" s="1"/>
  <c r="W191" i="4" l="1"/>
  <c r="AB191" i="4" s="1"/>
  <c r="W190" i="4"/>
  <c r="AB190" i="4" s="1"/>
  <c r="W189" i="4"/>
  <c r="AB189" i="4" s="1"/>
  <c r="W193" i="4"/>
  <c r="AB193" i="4" s="1"/>
  <c r="W192" i="4"/>
  <c r="AB192" i="4" s="1"/>
  <c r="W188" i="4" l="1"/>
  <c r="AB188" i="4" s="1"/>
  <c r="W84" i="4" l="1"/>
  <c r="AB84" i="4" s="1"/>
  <c r="B619" i="4" l="1"/>
  <c r="B17" i="4"/>
  <c r="B18" i="4"/>
  <c r="B16" i="4" l="1"/>
  <c r="B14" i="4"/>
  <c r="B15" i="4"/>
  <c r="B19" i="4"/>
  <c r="B20" i="4"/>
  <c r="B21" i="4"/>
  <c r="W72" i="4" l="1"/>
  <c r="AB72" i="4" s="1"/>
  <c r="G250" i="4" l="1"/>
  <c r="H250" i="4"/>
  <c r="F250" i="4"/>
  <c r="W249" i="4" l="1"/>
  <c r="AB249" i="4" s="1"/>
  <c r="P16" i="4"/>
  <c r="W43" i="4" l="1"/>
  <c r="AB43" i="4" s="1"/>
  <c r="G275" i="4"/>
  <c r="F275" i="4"/>
  <c r="W26" i="4" l="1"/>
  <c r="W297" i="4"/>
  <c r="AB297" i="4" s="1"/>
  <c r="AB26" i="4" l="1"/>
  <c r="W216" i="4"/>
  <c r="AB216" i="4" s="1"/>
  <c r="U207" i="4"/>
  <c r="V207" i="4"/>
  <c r="U208" i="4"/>
  <c r="V209" i="4"/>
  <c r="U210" i="4"/>
  <c r="V210" i="4"/>
  <c r="U211" i="4"/>
  <c r="V211" i="4"/>
  <c r="U231" i="4"/>
  <c r="V231" i="4"/>
  <c r="U232" i="4"/>
  <c r="V232" i="4"/>
  <c r="U233" i="4"/>
  <c r="V233" i="4"/>
  <c r="U234" i="4"/>
  <c r="V234" i="4"/>
  <c r="U235" i="4"/>
  <c r="V235" i="4"/>
  <c r="U236" i="4"/>
  <c r="V236" i="4"/>
  <c r="U237" i="4"/>
  <c r="V237" i="4"/>
  <c r="W290" i="4"/>
  <c r="W422" i="4" l="1"/>
  <c r="AB422" i="4" s="1"/>
  <c r="W324" i="4"/>
  <c r="AB324" i="4" s="1"/>
  <c r="W303" i="4"/>
  <c r="AB303" i="4" s="1"/>
  <c r="W300" i="4"/>
  <c r="AB300" i="4" s="1"/>
  <c r="AB381" i="4"/>
  <c r="W495" i="4"/>
  <c r="AB495" i="4" s="1"/>
  <c r="W488" i="4"/>
  <c r="AB488" i="4" s="1"/>
  <c r="W481" i="4"/>
  <c r="AB481" i="4" s="1"/>
  <c r="W473" i="4"/>
  <c r="AB473" i="4" s="1"/>
  <c r="W460" i="4"/>
  <c r="AB460" i="4" s="1"/>
  <c r="W299" i="4"/>
  <c r="AB299" i="4" s="1"/>
  <c r="W442" i="4"/>
  <c r="AB442" i="4" s="1"/>
  <c r="W407" i="4"/>
  <c r="AB407" i="4" s="1"/>
  <c r="W343" i="4"/>
  <c r="AB343" i="4" s="1"/>
  <c r="W211" i="4"/>
  <c r="AB211" i="4" s="1"/>
  <c r="W531" i="4"/>
  <c r="AB531" i="4" s="1"/>
  <c r="W519" i="4"/>
  <c r="AB519" i="4" s="1"/>
  <c r="W295" i="4"/>
  <c r="AB295" i="4" s="1"/>
  <c r="W207" i="4"/>
  <c r="AB207" i="4" s="1"/>
  <c r="W424" i="4"/>
  <c r="AB424" i="4" s="1"/>
  <c r="W417" i="4"/>
  <c r="AB417" i="4" s="1"/>
  <c r="W523" i="4"/>
  <c r="AB523" i="4" s="1"/>
  <c r="W522" i="4"/>
  <c r="AB522" i="4" s="1"/>
  <c r="W447" i="4"/>
  <c r="AB447" i="4" s="1"/>
  <c r="W373" i="4"/>
  <c r="AB373" i="4" s="1"/>
  <c r="W339" i="4"/>
  <c r="AB339" i="4" s="1"/>
  <c r="W298" i="4"/>
  <c r="AB298" i="4" s="1"/>
  <c r="W294" i="4"/>
  <c r="AB294" i="4" s="1"/>
  <c r="W283" i="4"/>
  <c r="AB283" i="4" s="1"/>
  <c r="W494" i="4"/>
  <c r="AB494" i="4" s="1"/>
  <c r="W486" i="4"/>
  <c r="AB486" i="4" s="1"/>
  <c r="W479" i="4"/>
  <c r="AB479" i="4" s="1"/>
  <c r="W466" i="4"/>
  <c r="AB466" i="4" s="1"/>
  <c r="W458" i="4"/>
  <c r="AB458" i="4" s="1"/>
  <c r="W448" i="4"/>
  <c r="AB448" i="4" s="1"/>
  <c r="W444" i="4"/>
  <c r="AB444" i="4" s="1"/>
  <c r="W430" i="4"/>
  <c r="AB430" i="4" s="1"/>
  <c r="W349" i="4"/>
  <c r="AB349" i="4" s="1"/>
  <c r="W345" i="4"/>
  <c r="AB345" i="4" s="1"/>
  <c r="W341" i="4"/>
  <c r="AB341" i="4" s="1"/>
  <c r="W319" i="4"/>
  <c r="AB319" i="4" s="1"/>
  <c r="W405" i="4"/>
  <c r="W390" i="4"/>
  <c r="AB390" i="4" s="1"/>
  <c r="AB376" i="4"/>
  <c r="W356" i="4"/>
  <c r="AB356" i="4" s="1"/>
  <c r="W524" i="4"/>
  <c r="AB524" i="4" s="1"/>
  <c r="W520" i="4"/>
  <c r="AB520" i="4" s="1"/>
  <c r="W322" i="4"/>
  <c r="AB322" i="4" s="1"/>
  <c r="W315" i="4"/>
  <c r="AB315" i="4" s="1"/>
  <c r="W309" i="4"/>
  <c r="AB309" i="4" s="1"/>
  <c r="W532" i="4"/>
  <c r="AB532" i="4" s="1"/>
  <c r="W413" i="4"/>
  <c r="AB413" i="4" s="1"/>
  <c r="AB380" i="4"/>
  <c r="W369" i="4"/>
  <c r="AB369" i="4" s="1"/>
  <c r="W352" i="4"/>
  <c r="AB352" i="4" s="1"/>
  <c r="W346" i="4"/>
  <c r="AB346" i="4" s="1"/>
  <c r="W337" i="4"/>
  <c r="AB337" i="4" s="1"/>
  <c r="W320" i="4"/>
  <c r="AB320" i="4" s="1"/>
  <c r="W269" i="4"/>
  <c r="AB269" i="4" s="1"/>
  <c r="W521" i="4"/>
  <c r="AB521" i="4" s="1"/>
  <c r="W450" i="4"/>
  <c r="AB450" i="4" s="1"/>
  <c r="W415" i="4"/>
  <c r="AB415" i="4" s="1"/>
  <c r="W411" i="4"/>
  <c r="AB411" i="4" s="1"/>
  <c r="W409" i="4"/>
  <c r="AB409" i="4" s="1"/>
  <c r="AB383" i="4"/>
  <c r="W314" i="4"/>
  <c r="AB314" i="4" s="1"/>
  <c r="W496" i="4"/>
  <c r="AB496" i="4" s="1"/>
  <c r="W489" i="4"/>
  <c r="AB489" i="4" s="1"/>
  <c r="W482" i="4"/>
  <c r="AB482" i="4" s="1"/>
  <c r="W474" i="4"/>
  <c r="AB474" i="4" s="1"/>
  <c r="W468" i="4"/>
  <c r="AB468" i="4" s="1"/>
  <c r="W461" i="4"/>
  <c r="AB461" i="4" s="1"/>
  <c r="W453" i="4"/>
  <c r="AB453" i="4" s="1"/>
  <c r="W451" i="4"/>
  <c r="AB451" i="4" s="1"/>
  <c r="W429" i="4"/>
  <c r="AB429" i="4" s="1"/>
  <c r="W423" i="4"/>
  <c r="AB423" i="4" s="1"/>
  <c r="W419" i="4"/>
  <c r="AB419" i="4" s="1"/>
  <c r="W410" i="4"/>
  <c r="AB410" i="4" s="1"/>
  <c r="AB378" i="4"/>
  <c r="AB375" i="4"/>
  <c r="W362" i="4"/>
  <c r="AB362" i="4" s="1"/>
  <c r="W348" i="4"/>
  <c r="AB348" i="4" s="1"/>
  <c r="W259" i="4"/>
  <c r="AB259" i="4" s="1"/>
  <c r="W236" i="4"/>
  <c r="AB236" i="4" s="1"/>
  <c r="W209" i="4"/>
  <c r="AB209" i="4" s="1"/>
  <c r="W230" i="4"/>
  <c r="AB230" i="4" s="1"/>
  <c r="W332" i="4"/>
  <c r="AB332" i="4" s="1"/>
  <c r="W210" i="4"/>
  <c r="AB210" i="4" s="1"/>
  <c r="W208" i="4"/>
  <c r="AB208" i="4" s="1"/>
  <c r="W328" i="4"/>
  <c r="AB328" i="4" s="1"/>
  <c r="W229" i="4"/>
  <c r="AB229" i="4" s="1"/>
  <c r="W530" i="4"/>
  <c r="AB530" i="4" s="1"/>
  <c r="W529" i="4"/>
  <c r="AB529" i="4" s="1"/>
  <c r="W497" i="4"/>
  <c r="AB497" i="4" s="1"/>
  <c r="W493" i="4"/>
  <c r="AB493" i="4" s="1"/>
  <c r="W490" i="4"/>
  <c r="AB490" i="4" s="1"/>
  <c r="W487" i="4"/>
  <c r="AB487" i="4" s="1"/>
  <c r="W485" i="4"/>
  <c r="AB485" i="4" s="1"/>
  <c r="W483" i="4"/>
  <c r="AB483" i="4" s="1"/>
  <c r="W480" i="4"/>
  <c r="AB480" i="4" s="1"/>
  <c r="W478" i="4"/>
  <c r="AB478" i="4" s="1"/>
  <c r="W475" i="4"/>
  <c r="AB475" i="4" s="1"/>
  <c r="W472" i="4"/>
  <c r="AB472" i="4" s="1"/>
  <c r="W471" i="4"/>
  <c r="AB471" i="4" s="1"/>
  <c r="W467" i="4"/>
  <c r="AB467" i="4" s="1"/>
  <c r="W465" i="4"/>
  <c r="AB465" i="4" s="1"/>
  <c r="W462" i="4"/>
  <c r="AB462" i="4" s="1"/>
  <c r="W459" i="4"/>
  <c r="AB459" i="4" s="1"/>
  <c r="W457" i="4"/>
  <c r="AB457" i="4" s="1"/>
  <c r="W454" i="4"/>
  <c r="AB454" i="4" s="1"/>
  <c r="W452" i="4"/>
  <c r="AB452" i="4" s="1"/>
  <c r="W445" i="4"/>
  <c r="AB445" i="4" s="1"/>
  <c r="W286" i="4"/>
  <c r="AB286" i="4" s="1"/>
  <c r="W499" i="4"/>
  <c r="AB499" i="4" s="1"/>
  <c r="W498" i="4"/>
  <c r="AB498" i="4" s="1"/>
  <c r="W492" i="4"/>
  <c r="AB492" i="4" s="1"/>
  <c r="W491" i="4"/>
  <c r="AB491" i="4" s="1"/>
  <c r="W484" i="4"/>
  <c r="AB484" i="4" s="1"/>
  <c r="W477" i="4"/>
  <c r="AB477" i="4" s="1"/>
  <c r="W476" i="4"/>
  <c r="AB476" i="4" s="1"/>
  <c r="W470" i="4"/>
  <c r="AB470" i="4" s="1"/>
  <c r="W469" i="4"/>
  <c r="AB469" i="4" s="1"/>
  <c r="W464" i="4"/>
  <c r="AB464" i="4" s="1"/>
  <c r="W463" i="4"/>
  <c r="AB463" i="4" s="1"/>
  <c r="W456" i="4"/>
  <c r="AB456" i="4" s="1"/>
  <c r="W455" i="4"/>
  <c r="AB455" i="4" s="1"/>
  <c r="W432" i="4"/>
  <c r="AB432" i="4" s="1"/>
  <c r="W446" i="4"/>
  <c r="AB446" i="4" s="1"/>
  <c r="W439" i="4"/>
  <c r="AB439" i="4" s="1"/>
  <c r="W436" i="4"/>
  <c r="AB436" i="4" s="1"/>
  <c r="W434" i="4"/>
  <c r="AB434" i="4" s="1"/>
  <c r="W426" i="4"/>
  <c r="AB426" i="4" s="1"/>
  <c r="W418" i="4"/>
  <c r="AB418" i="4" s="1"/>
  <c r="W408" i="4"/>
  <c r="AB408" i="4" s="1"/>
  <c r="AB382" i="4"/>
  <c r="W368" i="4"/>
  <c r="AB368" i="4" s="1"/>
  <c r="W347" i="4"/>
  <c r="AB347" i="4" s="1"/>
  <c r="W340" i="4"/>
  <c r="AB340" i="4" s="1"/>
  <c r="W335" i="4"/>
  <c r="AB335" i="4" s="1"/>
  <c r="W333" i="4"/>
  <c r="AB333" i="4" s="1"/>
  <c r="W330" i="4"/>
  <c r="AB330" i="4" s="1"/>
  <c r="W327" i="4"/>
  <c r="AB327" i="4" s="1"/>
  <c r="W318" i="4"/>
  <c r="AB318" i="4" s="1"/>
  <c r="W313" i="4"/>
  <c r="AB313" i="4" s="1"/>
  <c r="W244" i="4"/>
  <c r="AB244" i="4" s="1"/>
  <c r="W242" i="4"/>
  <c r="AB242" i="4" s="1"/>
  <c r="W234" i="4"/>
  <c r="AB234" i="4" s="1"/>
  <c r="W232" i="4"/>
  <c r="AB232" i="4" s="1"/>
  <c r="W231" i="4"/>
  <c r="AB231" i="4" s="1"/>
  <c r="W421" i="4"/>
  <c r="AB421" i="4" s="1"/>
  <c r="W416" i="4"/>
  <c r="AB416" i="4" s="1"/>
  <c r="AB387" i="4"/>
  <c r="AB379" i="4"/>
  <c r="W372" i="4"/>
  <c r="AB372" i="4" s="1"/>
  <c r="W371" i="4"/>
  <c r="AB371" i="4" s="1"/>
  <c r="W358" i="4"/>
  <c r="AB358" i="4" s="1"/>
  <c r="W344" i="4"/>
  <c r="AB344" i="4" s="1"/>
  <c r="W336" i="4"/>
  <c r="AB336" i="4" s="1"/>
  <c r="W334" i="4"/>
  <c r="AB334" i="4" s="1"/>
  <c r="W331" i="4"/>
  <c r="AB331" i="4" s="1"/>
  <c r="W329" i="4"/>
  <c r="AB329" i="4" s="1"/>
  <c r="W326" i="4"/>
  <c r="AB326" i="4" s="1"/>
  <c r="W325" i="4"/>
  <c r="AB325" i="4" s="1"/>
  <c r="W323" i="4"/>
  <c r="AB323" i="4" s="1"/>
  <c r="W308" i="4"/>
  <c r="W301" i="4"/>
  <c r="AB301" i="4" s="1"/>
  <c r="W241" i="4"/>
  <c r="W233" i="4"/>
  <c r="AB233" i="4" s="1"/>
  <c r="W443" i="4"/>
  <c r="AB443" i="4" s="1"/>
  <c r="W431" i="4"/>
  <c r="AB431" i="4" s="1"/>
  <c r="W440" i="4"/>
  <c r="AB440" i="4" s="1"/>
  <c r="W438" i="4"/>
  <c r="AB438" i="4" s="1"/>
  <c r="W437" i="4"/>
  <c r="AB437" i="4" s="1"/>
  <c r="W435" i="4"/>
  <c r="AB435" i="4" s="1"/>
  <c r="W433" i="4"/>
  <c r="AB433" i="4" s="1"/>
  <c r="W310" i="4"/>
  <c r="AB310" i="4" s="1"/>
  <c r="W449" i="4"/>
  <c r="AB449" i="4" s="1"/>
  <c r="W533" i="4"/>
  <c r="AB533" i="4" s="1"/>
  <c r="W441" i="4"/>
  <c r="AB441" i="4" s="1"/>
  <c r="W370" i="4"/>
  <c r="W412" i="4"/>
  <c r="AB412" i="4" s="1"/>
  <c r="W406" i="4"/>
  <c r="AB406" i="4" s="1"/>
  <c r="W355" i="4"/>
  <c r="AB355" i="4" s="1"/>
  <c r="W425" i="4"/>
  <c r="AB425" i="4" s="1"/>
  <c r="W420" i="4"/>
  <c r="AB420" i="4" s="1"/>
  <c r="W414" i="4"/>
  <c r="AB414" i="4" s="1"/>
  <c r="AB374" i="4"/>
  <c r="AB290" i="4"/>
  <c r="W291" i="4"/>
  <c r="AB291" i="4" s="1"/>
  <c r="W357" i="4"/>
  <c r="AB357" i="4" s="1"/>
  <c r="W350" i="4"/>
  <c r="AB350" i="4" s="1"/>
  <c r="W342" i="4"/>
  <c r="AB342" i="4" s="1"/>
  <c r="W321" i="4"/>
  <c r="AB321" i="4" s="1"/>
  <c r="W258" i="4"/>
  <c r="AB258" i="4" s="1"/>
  <c r="W237" i="4"/>
  <c r="AB237" i="4" s="1"/>
  <c r="W296" i="4"/>
  <c r="AB296" i="4" s="1"/>
  <c r="W235" i="4"/>
  <c r="AB235" i="4" s="1"/>
  <c r="W516" i="4" l="1"/>
  <c r="AB316" i="4"/>
  <c r="W316" i="4"/>
  <c r="AB377" i="4"/>
  <c r="AB527" i="4"/>
  <c r="W527" i="4"/>
  <c r="AB308" i="4"/>
  <c r="W311" i="4"/>
  <c r="W391" i="4"/>
  <c r="AB391" i="4" s="1"/>
  <c r="W363" i="4"/>
  <c r="AB363" i="4" s="1"/>
  <c r="W394" i="4"/>
  <c r="AB394" i="4"/>
  <c r="AB241" i="4"/>
  <c r="AB405" i="4"/>
  <c r="W366" i="4"/>
  <c r="AB370" i="4"/>
  <c r="AB366" i="4"/>
  <c r="AB311" i="4" l="1"/>
  <c r="AB516" i="4"/>
  <c r="W388" i="4"/>
  <c r="AB388" i="4"/>
  <c r="P89" i="4"/>
  <c r="P18" i="4"/>
  <c r="W238" i="4" l="1"/>
  <c r="W217" i="4"/>
  <c r="AB217" i="4" s="1"/>
  <c r="W261" i="4"/>
  <c r="AB261" i="4" s="1"/>
  <c r="W260" i="4"/>
  <c r="AB260" i="4" s="1"/>
  <c r="M23" i="4"/>
  <c r="W268" i="4"/>
  <c r="W239" i="4" l="1"/>
  <c r="AB239" i="4" s="1"/>
  <c r="AB238" i="4"/>
  <c r="V23" i="4"/>
  <c r="W226" i="4"/>
  <c r="AB226" i="4" s="1"/>
  <c r="W219" i="4"/>
  <c r="AB219" i="4" s="1"/>
  <c r="W252" i="4"/>
  <c r="AB252" i="4" s="1"/>
  <c r="W218" i="4"/>
  <c r="AB218" i="4" s="1"/>
  <c r="W248" i="4"/>
  <c r="W280" i="4"/>
  <c r="AB280" i="4" s="1"/>
  <c r="W220" i="4"/>
  <c r="AB220" i="4" s="1"/>
  <c r="W265" i="4"/>
  <c r="AB265" i="4" s="1"/>
  <c r="V243" i="4"/>
  <c r="W243" i="4" s="1"/>
  <c r="W223" i="4"/>
  <c r="AB223" i="4" s="1"/>
  <c r="W245" i="4"/>
  <c r="AB245" i="4" s="1"/>
  <c r="W277" i="4"/>
  <c r="AB268" i="4"/>
  <c r="W287" i="4"/>
  <c r="W255" i="4"/>
  <c r="W274" i="4"/>
  <c r="W293" i="4"/>
  <c r="V83" i="4"/>
  <c r="H49" i="4"/>
  <c r="G49" i="4"/>
  <c r="F49" i="4"/>
  <c r="G52" i="4"/>
  <c r="F52" i="4"/>
  <c r="G221" i="4"/>
  <c r="F221" i="4"/>
  <c r="G227" i="4"/>
  <c r="F227" i="4"/>
  <c r="F246" i="4"/>
  <c r="G246" i="4"/>
  <c r="G263" i="4"/>
  <c r="F263" i="4"/>
  <c r="G266" i="4"/>
  <c r="F266" i="4"/>
  <c r="H284" i="4"/>
  <c r="G284" i="4"/>
  <c r="F284" i="4"/>
  <c r="G39" i="4"/>
  <c r="F39" i="4"/>
  <c r="W304" i="4" l="1"/>
  <c r="W250" i="4"/>
  <c r="AB250" i="4" s="1"/>
  <c r="W273" i="4"/>
  <c r="W275" i="4" s="1"/>
  <c r="W253" i="4"/>
  <c r="AB253" i="4" s="1"/>
  <c r="AB248" i="4"/>
  <c r="W281" i="4"/>
  <c r="AB281" i="4" s="1"/>
  <c r="W266" i="4"/>
  <c r="AB266" i="4" s="1"/>
  <c r="W221" i="4"/>
  <c r="AB221" i="4" s="1"/>
  <c r="W278" i="4"/>
  <c r="AB278" i="4" s="1"/>
  <c r="AB277" i="4"/>
  <c r="AB287" i="4"/>
  <c r="W288" i="4"/>
  <c r="AB288" i="4" s="1"/>
  <c r="W256" i="4"/>
  <c r="AB256" i="4" s="1"/>
  <c r="AB255" i="4"/>
  <c r="W227" i="4"/>
  <c r="AB227" i="4" s="1"/>
  <c r="AB293" i="4"/>
  <c r="AB304" i="4" s="1"/>
  <c r="AB243" i="4"/>
  <c r="AB274" i="4"/>
  <c r="W224" i="4"/>
  <c r="AB224" i="4" s="1"/>
  <c r="V36" i="4" l="1"/>
  <c r="W36" i="4" s="1"/>
  <c r="AB273" i="4"/>
  <c r="AB275" i="4" s="1"/>
  <c r="W246" i="4"/>
  <c r="AB246" i="4" s="1"/>
  <c r="W38" i="4"/>
  <c r="AB38" i="4" s="1"/>
  <c r="W37" i="4"/>
  <c r="AB37" i="4" s="1"/>
  <c r="W284" i="4" l="1"/>
  <c r="AB36" i="4"/>
  <c r="AB39" i="4" s="1"/>
  <c r="W39" i="4"/>
  <c r="W115" i="4"/>
  <c r="AB115" i="4" s="1"/>
  <c r="W98" i="4"/>
  <c r="AB98" i="4" s="1"/>
  <c r="W99" i="4"/>
  <c r="AB99" i="4" s="1"/>
  <c r="W105" i="4"/>
  <c r="AB105" i="4" s="1"/>
  <c r="W108" i="4"/>
  <c r="AB108" i="4" s="1"/>
  <c r="W110" i="4"/>
  <c r="AB110" i="4" s="1"/>
  <c r="W112" i="4"/>
  <c r="AB112" i="4" s="1"/>
  <c r="W113" i="4"/>
  <c r="AB113" i="4" s="1"/>
  <c r="W116" i="4"/>
  <c r="AB116" i="4" s="1"/>
  <c r="W117" i="4"/>
  <c r="AB117" i="4" s="1"/>
  <c r="W100" i="4"/>
  <c r="AB100" i="4" s="1"/>
  <c r="W103" i="4"/>
  <c r="AB103" i="4" s="1"/>
  <c r="W106" i="4"/>
  <c r="AB106" i="4" s="1"/>
  <c r="W107" i="4"/>
  <c r="AB107" i="4" s="1"/>
  <c r="W109" i="4"/>
  <c r="AB109" i="4" s="1"/>
  <c r="W111" i="4"/>
  <c r="AB111" i="4" s="1"/>
  <c r="W114" i="4"/>
  <c r="AB114" i="4" s="1"/>
  <c r="W101" i="4"/>
  <c r="AB101" i="4" s="1"/>
  <c r="W102" i="4"/>
  <c r="AB102" i="4" s="1"/>
  <c r="W104" i="4"/>
  <c r="AB104" i="4" s="1"/>
  <c r="W202" i="4"/>
  <c r="AB202" i="4" s="1"/>
  <c r="W203" i="4"/>
  <c r="AB203" i="4" s="1"/>
  <c r="H394" i="4"/>
  <c r="H391" i="4"/>
  <c r="H596" i="4"/>
  <c r="H567" i="4"/>
  <c r="H311" i="4"/>
  <c r="H550" i="4"/>
  <c r="H559" i="4"/>
  <c r="H564" i="4"/>
  <c r="H540" i="4"/>
  <c r="H575" i="4"/>
  <c r="H602" i="4"/>
  <c r="G602" i="4"/>
  <c r="F602" i="4"/>
  <c r="G596" i="4"/>
  <c r="F596" i="4"/>
  <c r="G593" i="4"/>
  <c r="F593" i="4"/>
  <c r="G575" i="4"/>
  <c r="F575" i="4"/>
  <c r="G567" i="4"/>
  <c r="F567" i="4"/>
  <c r="G564" i="4"/>
  <c r="F564" i="4"/>
  <c r="G559" i="4"/>
  <c r="F559" i="4"/>
  <c r="G550" i="4"/>
  <c r="F550" i="4"/>
  <c r="G540" i="4"/>
  <c r="F540" i="4"/>
  <c r="F527" i="4"/>
  <c r="H527" i="4"/>
  <c r="G527" i="4"/>
  <c r="G394" i="4"/>
  <c r="F394" i="4"/>
  <c r="G391" i="4"/>
  <c r="F391" i="4"/>
  <c r="H388" i="4"/>
  <c r="G388" i="4"/>
  <c r="F388" i="4"/>
  <c r="H366" i="4"/>
  <c r="G366" i="4"/>
  <c r="F366" i="4"/>
  <c r="H363" i="4"/>
  <c r="G363" i="4"/>
  <c r="F363" i="4"/>
  <c r="H353" i="4"/>
  <c r="G353" i="4"/>
  <c r="G311" i="4"/>
  <c r="F311" i="4"/>
  <c r="F620" i="4" l="1"/>
  <c r="G620" i="4"/>
  <c r="AB284" i="4"/>
  <c r="W590" i="4"/>
  <c r="W615" i="4"/>
  <c r="AB615" i="4" s="1"/>
  <c r="W614" i="4"/>
  <c r="AB614" i="4" s="1"/>
  <c r="W562" i="4"/>
  <c r="AB562" i="4" s="1"/>
  <c r="W574" i="4"/>
  <c r="AB574" i="4" s="1"/>
  <c r="W548" i="4"/>
  <c r="AB548" i="4" s="1"/>
  <c r="W563" i="4"/>
  <c r="AB563" i="4" s="1"/>
  <c r="W569" i="4"/>
  <c r="AB569" i="4" s="1"/>
  <c r="W549" i="4"/>
  <c r="AB549" i="4" s="1"/>
  <c r="W546" i="4"/>
  <c r="AB546" i="4" s="1"/>
  <c r="W535" i="4"/>
  <c r="AB535" i="4" s="1"/>
  <c r="W539" i="4"/>
  <c r="AB539" i="4" s="1"/>
  <c r="W547" i="4"/>
  <c r="AB547" i="4" s="1"/>
  <c r="W536" i="4"/>
  <c r="AB536" i="4" s="1"/>
  <c r="W534" i="4"/>
  <c r="AB534" i="4" s="1"/>
  <c r="W538" i="4"/>
  <c r="AB538" i="4" s="1"/>
  <c r="W545" i="4"/>
  <c r="AB545" i="4" s="1"/>
  <c r="W537" i="4"/>
  <c r="AB537" i="4" s="1"/>
  <c r="AB590" i="4" l="1"/>
  <c r="AB540" i="4"/>
  <c r="W540" i="4"/>
  <c r="H593" i="4" l="1"/>
  <c r="H620" i="4" s="1"/>
  <c r="H304" i="4"/>
  <c r="G304" i="4"/>
  <c r="F304" i="4"/>
  <c r="H291" i="4"/>
  <c r="G291" i="4"/>
  <c r="F291" i="4"/>
  <c r="H288" i="4"/>
  <c r="G288" i="4"/>
  <c r="F288" i="4"/>
  <c r="H281" i="4"/>
  <c r="G281" i="4"/>
  <c r="F281" i="4"/>
  <c r="H278" i="4"/>
  <c r="G278" i="4"/>
  <c r="F278" i="4"/>
  <c r="H275" i="4"/>
  <c r="H271" i="4"/>
  <c r="G271" i="4"/>
  <c r="F271" i="4"/>
  <c r="W270" i="4"/>
  <c r="H266" i="4"/>
  <c r="H263" i="4"/>
  <c r="H256" i="4"/>
  <c r="G256" i="4"/>
  <c r="F256" i="4"/>
  <c r="H253" i="4"/>
  <c r="G253" i="4"/>
  <c r="F253" i="4"/>
  <c r="H246" i="4"/>
  <c r="H239" i="4"/>
  <c r="G239" i="4"/>
  <c r="F239" i="4"/>
  <c r="H227" i="4"/>
  <c r="H224" i="4"/>
  <c r="G224" i="4"/>
  <c r="F224" i="4"/>
  <c r="H221" i="4"/>
  <c r="W205" i="4"/>
  <c r="AB205" i="4" s="1"/>
  <c r="W179" i="4"/>
  <c r="AB179" i="4" s="1"/>
  <c r="W178" i="4"/>
  <c r="AB178" i="4" s="1"/>
  <c r="W177" i="4"/>
  <c r="AB177" i="4" s="1"/>
  <c r="W176" i="4"/>
  <c r="AB176" i="4" s="1"/>
  <c r="W175" i="4"/>
  <c r="AB175" i="4" s="1"/>
  <c r="W174" i="4"/>
  <c r="AB174" i="4" s="1"/>
  <c r="W173" i="4"/>
  <c r="AB173" i="4" s="1"/>
  <c r="W172" i="4"/>
  <c r="AB172" i="4" s="1"/>
  <c r="W171" i="4"/>
  <c r="AB171" i="4" s="1"/>
  <c r="W170" i="4"/>
  <c r="AB170" i="4" s="1"/>
  <c r="W169" i="4"/>
  <c r="AB169" i="4" s="1"/>
  <c r="W168" i="4"/>
  <c r="AB168" i="4" s="1"/>
  <c r="W167" i="4"/>
  <c r="AB167" i="4" s="1"/>
  <c r="W166" i="4"/>
  <c r="AB166" i="4" s="1"/>
  <c r="W165" i="4"/>
  <c r="AB165" i="4" s="1"/>
  <c r="W164" i="4"/>
  <c r="AB164" i="4" s="1"/>
  <c r="W163" i="4"/>
  <c r="AB163" i="4" s="1"/>
  <c r="W162" i="4"/>
  <c r="AB162" i="4" s="1"/>
  <c r="W161" i="4"/>
  <c r="AB161" i="4" s="1"/>
  <c r="W160" i="4"/>
  <c r="AB160" i="4" s="1"/>
  <c r="W159" i="4"/>
  <c r="AB159" i="4" s="1"/>
  <c r="W158" i="4"/>
  <c r="AB158" i="4" s="1"/>
  <c r="W157" i="4"/>
  <c r="AB157" i="4" s="1"/>
  <c r="W156" i="4"/>
  <c r="AB156" i="4" s="1"/>
  <c r="W155" i="4"/>
  <c r="AB155" i="4" s="1"/>
  <c r="W154" i="4"/>
  <c r="AB154" i="4" s="1"/>
  <c r="W153" i="4"/>
  <c r="AB153" i="4" s="1"/>
  <c r="W152" i="4"/>
  <c r="AB152" i="4" s="1"/>
  <c r="W151" i="4"/>
  <c r="AB151" i="4" s="1"/>
  <c r="W150" i="4"/>
  <c r="AB150" i="4" s="1"/>
  <c r="W149" i="4"/>
  <c r="AB149" i="4" s="1"/>
  <c r="W148" i="4"/>
  <c r="AB148" i="4" s="1"/>
  <c r="W147" i="4"/>
  <c r="AB147" i="4" s="1"/>
  <c r="W145" i="4"/>
  <c r="AB145" i="4" s="1"/>
  <c r="W144" i="4"/>
  <c r="AB144" i="4" s="1"/>
  <c r="W143" i="4"/>
  <c r="AB143" i="4" s="1"/>
  <c r="W142" i="4"/>
  <c r="AB142" i="4" s="1"/>
  <c r="W141" i="4"/>
  <c r="AB141" i="4" s="1"/>
  <c r="W140" i="4"/>
  <c r="AB140" i="4" s="1"/>
  <c r="W139" i="4"/>
  <c r="AB139" i="4" s="1"/>
  <c r="W138" i="4"/>
  <c r="AB138" i="4" s="1"/>
  <c r="W137" i="4"/>
  <c r="AB137" i="4" s="1"/>
  <c r="W136" i="4"/>
  <c r="AB136" i="4" s="1"/>
  <c r="W135" i="4"/>
  <c r="AB135" i="4" s="1"/>
  <c r="W134" i="4"/>
  <c r="AB134" i="4" s="1"/>
  <c r="W133" i="4"/>
  <c r="AB133" i="4" s="1"/>
  <c r="W132" i="4"/>
  <c r="AB132" i="4" s="1"/>
  <c r="W131" i="4"/>
  <c r="AB131" i="4" s="1"/>
  <c r="W130" i="4"/>
  <c r="AB130" i="4" s="1"/>
  <c r="W129" i="4"/>
  <c r="AB129" i="4" s="1"/>
  <c r="W128" i="4"/>
  <c r="AB128" i="4" s="1"/>
  <c r="W127" i="4"/>
  <c r="AB127" i="4" s="1"/>
  <c r="W126" i="4"/>
  <c r="AB126" i="4" s="1"/>
  <c r="W125" i="4"/>
  <c r="AB125" i="4" s="1"/>
  <c r="W124" i="4"/>
  <c r="AB124" i="4" s="1"/>
  <c r="W123" i="4"/>
  <c r="AB123" i="4" s="1"/>
  <c r="W122" i="4"/>
  <c r="AB122" i="4" s="1"/>
  <c r="W121" i="4"/>
  <c r="AB121" i="4" s="1"/>
  <c r="W120" i="4"/>
  <c r="AB120" i="4" s="1"/>
  <c r="W119" i="4"/>
  <c r="AB119" i="4" s="1"/>
  <c r="W118" i="4"/>
  <c r="AB118" i="4" s="1"/>
  <c r="W97" i="4"/>
  <c r="AB97" i="4" s="1"/>
  <c r="W96" i="4"/>
  <c r="AB96" i="4" s="1"/>
  <c r="W95" i="4"/>
  <c r="AB95" i="4" s="1"/>
  <c r="W94" i="4"/>
  <c r="AB94" i="4" s="1"/>
  <c r="W93" i="4"/>
  <c r="AB93" i="4" s="1"/>
  <c r="W92" i="4"/>
  <c r="AB92" i="4" s="1"/>
  <c r="W91" i="4"/>
  <c r="AB91" i="4" s="1"/>
  <c r="W89" i="4"/>
  <c r="AB89" i="4" s="1"/>
  <c r="W88" i="4"/>
  <c r="AB88" i="4" s="1"/>
  <c r="W87" i="4"/>
  <c r="AB87" i="4" s="1"/>
  <c r="W86" i="4"/>
  <c r="AB86" i="4" s="1"/>
  <c r="W83" i="4"/>
  <c r="AB83" i="4" s="1"/>
  <c r="W82" i="4"/>
  <c r="AB82" i="4" s="1"/>
  <c r="W81" i="4"/>
  <c r="AB81" i="4" s="1"/>
  <c r="W80" i="4"/>
  <c r="AB80" i="4" s="1"/>
  <c r="W79" i="4"/>
  <c r="AB79" i="4" s="1"/>
  <c r="H52" i="4"/>
  <c r="H34" i="4"/>
  <c r="H28" i="4"/>
  <c r="G28" i="4"/>
  <c r="H24" i="4"/>
  <c r="G24" i="4"/>
  <c r="H19" i="4"/>
  <c r="H20" i="4" s="1"/>
  <c r="G19" i="4"/>
  <c r="G20" i="4" s="1"/>
  <c r="F19" i="4"/>
  <c r="F20" i="4" s="1"/>
  <c r="V18" i="4"/>
  <c r="U18" i="4"/>
  <c r="V17" i="4"/>
  <c r="U17" i="4"/>
  <c r="V16" i="4"/>
  <c r="U16" i="4"/>
  <c r="G305" i="4" l="1"/>
  <c r="G621" i="4" s="1"/>
  <c r="H305" i="4"/>
  <c r="H621" i="4" s="1"/>
  <c r="F305" i="4"/>
  <c r="F621" i="4" s="1"/>
  <c r="AB270" i="4"/>
  <c r="W271" i="4"/>
  <c r="AB271" i="4" s="1"/>
  <c r="W544" i="4"/>
  <c r="AB544" i="4" s="1"/>
  <c r="W557" i="4"/>
  <c r="AB557" i="4" s="1"/>
  <c r="W51" i="4"/>
  <c r="W197" i="4"/>
  <c r="AB197" i="4" s="1"/>
  <c r="W599" i="4"/>
  <c r="AB599" i="4" s="1"/>
  <c r="W558" i="4"/>
  <c r="AB558" i="4" s="1"/>
  <c r="W609" i="4"/>
  <c r="AB609" i="4" s="1"/>
  <c r="W610" i="4"/>
  <c r="AB610" i="4" s="1"/>
  <c r="W613" i="4"/>
  <c r="AB613" i="4" s="1"/>
  <c r="W18" i="4"/>
  <c r="AB18" i="4" s="1"/>
  <c r="W45" i="4"/>
  <c r="AB45" i="4" s="1"/>
  <c r="W47" i="4"/>
  <c r="AB47" i="4" s="1"/>
  <c r="W595" i="4"/>
  <c r="AB595" i="4" s="1"/>
  <c r="W75" i="4"/>
  <c r="AB75" i="4" s="1"/>
  <c r="W46" i="4"/>
  <c r="AB46" i="4" s="1"/>
  <c r="W48" i="4"/>
  <c r="AB48" i="4" s="1"/>
  <c r="W542" i="4"/>
  <c r="AB542" i="4" s="1"/>
  <c r="W554" i="4"/>
  <c r="W185" i="4"/>
  <c r="AB185" i="4" s="1"/>
  <c r="W195" i="4"/>
  <c r="AB195" i="4" s="1"/>
  <c r="W573" i="4"/>
  <c r="AB573" i="4" s="1"/>
  <c r="W586" i="4"/>
  <c r="W41" i="4"/>
  <c r="W44" i="4"/>
  <c r="AB44" i="4" s="1"/>
  <c r="W76" i="4"/>
  <c r="AB76" i="4" s="1"/>
  <c r="W561" i="4"/>
  <c r="AB561" i="4" s="1"/>
  <c r="W592" i="4"/>
  <c r="W593" i="4" s="1"/>
  <c r="W33" i="4"/>
  <c r="W34" i="4" s="1"/>
  <c r="W17" i="4"/>
  <c r="AB17" i="4" s="1"/>
  <c r="W66" i="4"/>
  <c r="AB66" i="4" s="1"/>
  <c r="W67" i="4"/>
  <c r="AB67" i="4" s="1"/>
  <c r="W77" i="4"/>
  <c r="AB77" i="4" s="1"/>
  <c r="W182" i="4"/>
  <c r="AB182" i="4" s="1"/>
  <c r="W186" i="4"/>
  <c r="AB186" i="4" s="1"/>
  <c r="W187" i="4"/>
  <c r="AB187" i="4" s="1"/>
  <c r="W199" i="4"/>
  <c r="AB199" i="4" s="1"/>
  <c r="W201" i="4"/>
  <c r="AB201" i="4" s="1"/>
  <c r="W204" i="4"/>
  <c r="AB204" i="4" s="1"/>
  <c r="W23" i="4"/>
  <c r="W24" i="4" s="1"/>
  <c r="W68" i="4"/>
  <c r="AB68" i="4" s="1"/>
  <c r="W71" i="4"/>
  <c r="AB71" i="4" s="1"/>
  <c r="W146" i="4"/>
  <c r="AB146" i="4" s="1"/>
  <c r="W180" i="4"/>
  <c r="AB180" i="4" s="1"/>
  <c r="W196" i="4"/>
  <c r="AB196" i="4" s="1"/>
  <c r="W577" i="4"/>
  <c r="AB577" i="4" s="1"/>
  <c r="W16" i="4"/>
  <c r="AB16" i="4" s="1"/>
  <c r="W65" i="4"/>
  <c r="AB65" i="4" s="1"/>
  <c r="W69" i="4"/>
  <c r="AB69" i="4" s="1"/>
  <c r="W74" i="4"/>
  <c r="AB74" i="4" s="1"/>
  <c r="W78" i="4"/>
  <c r="AB78" i="4" s="1"/>
  <c r="W181" i="4"/>
  <c r="AB181" i="4" s="1"/>
  <c r="W198" i="4"/>
  <c r="AB198" i="4" s="1"/>
  <c r="W200" i="4"/>
  <c r="AB200" i="4" s="1"/>
  <c r="W543" i="4"/>
  <c r="AB543" i="4" s="1"/>
  <c r="W578" i="4"/>
  <c r="AB578" i="4" s="1"/>
  <c r="W598" i="4"/>
  <c r="AB598" i="4" s="1"/>
  <c r="W64" i="4"/>
  <c r="AB64" i="4" s="1"/>
  <c r="W70" i="4"/>
  <c r="AB70" i="4" s="1"/>
  <c r="W183" i="4"/>
  <c r="AB183" i="4" s="1"/>
  <c r="W90" i="4"/>
  <c r="AB90" i="4" s="1"/>
  <c r="W42" i="4"/>
  <c r="AB42" i="4" s="1"/>
  <c r="W63" i="4"/>
  <c r="W184" i="4"/>
  <c r="AB184" i="4" s="1"/>
  <c r="W194" i="4"/>
  <c r="AB194" i="4" s="1"/>
  <c r="W206" i="4"/>
  <c r="AB206" i="4" s="1"/>
  <c r="W27" i="4"/>
  <c r="W28" i="4" s="1"/>
  <c r="W73" i="4"/>
  <c r="AB73" i="4" s="1"/>
  <c r="W608" i="4"/>
  <c r="AB608" i="4" s="1"/>
  <c r="W612" i="4"/>
  <c r="AB612" i="4" s="1"/>
  <c r="W601" i="4"/>
  <c r="AB601" i="4" s="1"/>
  <c r="W611" i="4"/>
  <c r="AB611" i="4" s="1"/>
  <c r="AB353" i="4" l="1"/>
  <c r="W353" i="4"/>
  <c r="W584" i="4"/>
  <c r="AB24" i="4"/>
  <c r="W571" i="4"/>
  <c r="W587" i="4"/>
  <c r="AB587" i="4" s="1"/>
  <c r="W214" i="4"/>
  <c r="AB214" i="4" s="1"/>
  <c r="AB63" i="4"/>
  <c r="W263" i="4"/>
  <c r="AB263" i="4" s="1"/>
  <c r="AB51" i="4"/>
  <c r="W52" i="4"/>
  <c r="AB41" i="4"/>
  <c r="W49" i="4"/>
  <c r="AB49" i="4" s="1"/>
  <c r="W596" i="4"/>
  <c r="W575" i="4"/>
  <c r="W602" i="4"/>
  <c r="W619" i="4"/>
  <c r="AB602" i="4"/>
  <c r="AB571" i="4"/>
  <c r="W567" i="4"/>
  <c r="AB567" i="4" s="1"/>
  <c r="W564" i="4"/>
  <c r="AB564" i="4" s="1"/>
  <c r="W559" i="4"/>
  <c r="AB554" i="4"/>
  <c r="AB550" i="4"/>
  <c r="W550" i="4"/>
  <c r="AB23" i="4"/>
  <c r="AB33" i="4"/>
  <c r="AB34" i="4" s="1"/>
  <c r="W19" i="4"/>
  <c r="AB19" i="4" s="1"/>
  <c r="AB575" i="4"/>
  <c r="AB619" i="4"/>
  <c r="AB596" i="4"/>
  <c r="AB28" i="4"/>
  <c r="AB27" i="4"/>
  <c r="AB593" i="4"/>
  <c r="AB592" i="4"/>
  <c r="AB586" i="4"/>
  <c r="AB584" i="4"/>
  <c r="W620" i="4" l="1"/>
  <c r="W305" i="4"/>
  <c r="AB559" i="4"/>
  <c r="AB620" i="4" s="1"/>
  <c r="AB52" i="4"/>
  <c r="AB305" i="4" s="1"/>
  <c r="W20" i="4"/>
  <c r="W621" i="4" l="1"/>
  <c r="AB20" i="4"/>
  <c r="AB621" i="4" s="1"/>
</calcChain>
</file>

<file path=xl/comments1.xml><?xml version="1.0" encoding="utf-8"?>
<comments xmlns="http://schemas.openxmlformats.org/spreadsheetml/2006/main">
  <authors>
    <author>user</author>
  </authors>
  <commentList>
    <comment ref="D7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07082018
электрика, тепло-, водо-снабжение, водоотведение, подвал из 18 в 16-й</t>
        </r>
      </text>
    </comment>
    <comment ref="D71" authorId="0" shapeId="0">
      <text>
        <r>
          <rPr>
            <b/>
            <sz val="11"/>
            <color indexed="81"/>
            <rFont val="Tahoma"/>
            <family val="2"/>
            <charset val="204"/>
          </rPr>
          <t>user:</t>
        </r>
        <r>
          <rPr>
            <sz val="11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07082018
электрика, тепло-, водо-снабжение, водоотведение, подвал из 18 в 16-й</t>
        </r>
      </text>
    </comment>
    <comment ref="D72" authorId="0" shapeId="0">
      <text>
        <r>
          <rPr>
            <b/>
            <sz val="12"/>
            <color indexed="81"/>
            <rFont val="Tahoma"/>
            <family val="2"/>
            <charset val="204"/>
          </rPr>
          <t>user: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07082018
в 2016 остается электрика,  все остальные виды работ переносятся в 2018 (протокол ОСС)</t>
        </r>
      </text>
    </comment>
    <comment ref="D7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07082018
тепло-, водо-снабжение, водоотведение, МОП из 18 в 16-й</t>
        </r>
      </text>
    </comment>
    <comment ref="D14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07082018
исправлена предельная стоимость крыши и фасада</t>
        </r>
      </text>
    </comment>
    <comment ref="D17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ред. 08082018
пересчитано фасад и крыша</t>
        </r>
      </text>
    </comment>
    <comment ref="D249" authorId="0" shapeId="0">
      <text>
        <r>
          <rPr>
            <sz val="14"/>
            <color indexed="81"/>
            <rFont val="Tahoma"/>
            <family val="2"/>
            <charset val="204"/>
          </rPr>
          <t>ред. 07082018: перенос из 2016 года в 2018</t>
        </r>
      </text>
    </comment>
    <comment ref="D280" authorId="0" shapeId="0">
      <text>
        <r>
          <rPr>
            <sz val="16"/>
            <color indexed="81"/>
            <rFont val="Tahoma"/>
            <family val="2"/>
            <charset val="204"/>
          </rPr>
          <t>ред. 07082018
убран подвал</t>
        </r>
      </text>
    </comment>
  </commentList>
</comments>
</file>

<file path=xl/sharedStrings.xml><?xml version="1.0" encoding="utf-8"?>
<sst xmlns="http://schemas.openxmlformats.org/spreadsheetml/2006/main" count="2081" uniqueCount="1076">
  <si>
    <t>Год постройки</t>
  </si>
  <si>
    <t>руб</t>
  </si>
  <si>
    <t>№ п/п</t>
  </si>
  <si>
    <t>Строительный контроль</t>
  </si>
  <si>
    <t>Общая площадь, кв.метров</t>
  </si>
  <si>
    <t>Площадь нежилых помещений функционального назначения, кв. метров</t>
  </si>
  <si>
    <t>Срок окончания капитального ремонта</t>
  </si>
  <si>
    <t>Источник финансирования работ по капитальному ремонту</t>
  </si>
  <si>
    <t>Государственная поддержка, в том числе</t>
  </si>
  <si>
    <t>руб.</t>
  </si>
  <si>
    <t>квартал, год</t>
  </si>
  <si>
    <t>2017 год</t>
  </si>
  <si>
    <t>4кв.2018г.</t>
  </si>
  <si>
    <t>Тимский район (1)</t>
  </si>
  <si>
    <t xml:space="preserve">Виды работ (услуг) по капитальному ремонту, стоимость (рублей) </t>
  </si>
  <si>
    <t>Большесолдатский район (1)</t>
  </si>
  <si>
    <t>2018 год</t>
  </si>
  <si>
    <t>4кв.2019г.</t>
  </si>
  <si>
    <t>4кв.2020г.</t>
  </si>
  <si>
    <t>ИТОГО за 2018год</t>
  </si>
  <si>
    <t>2019 год</t>
  </si>
  <si>
    <t>Пристенский район (3)</t>
  </si>
  <si>
    <t>Медвенский район (1)</t>
  </si>
  <si>
    <t>Итого за 2017 год</t>
  </si>
  <si>
    <t>Дмитриевский район (1)</t>
  </si>
  <si>
    <t xml:space="preserve">УТВЕРЖДЕН </t>
  </si>
  <si>
    <t>постановлением Администрации</t>
  </si>
  <si>
    <t>Солнцевский район (1)</t>
  </si>
  <si>
    <t>5/х</t>
  </si>
  <si>
    <t>2/х</t>
  </si>
  <si>
    <t>3/х</t>
  </si>
  <si>
    <t>9/-</t>
  </si>
  <si>
    <t>10/-</t>
  </si>
  <si>
    <t>5/-</t>
  </si>
  <si>
    <t>3/-</t>
  </si>
  <si>
    <t>2/-</t>
  </si>
  <si>
    <t>4/-</t>
  </si>
  <si>
    <t>1/-</t>
  </si>
  <si>
    <t>16/-</t>
  </si>
  <si>
    <t>1/х</t>
  </si>
  <si>
    <t>Горшеченский район (2)</t>
  </si>
  <si>
    <t>Мантуровский район (1)</t>
  </si>
  <si>
    <t>Площадь жилой части здания, кв.метров</t>
  </si>
  <si>
    <t>Конышевский район (1)</t>
  </si>
  <si>
    <t>Курский район (5)</t>
  </si>
  <si>
    <t>Щигровский район (1)</t>
  </si>
  <si>
    <t>Черемисиновский район (2)</t>
  </si>
  <si>
    <t>Количество этажей/объект культур. наследия(-/х)</t>
  </si>
  <si>
    <t xml:space="preserve">       Администрации Курской области</t>
  </si>
  <si>
    <t xml:space="preserve">       от _______________№ ________)</t>
  </si>
  <si>
    <t>Льговский район (2)</t>
  </si>
  <si>
    <t>Касторенский район (8)</t>
  </si>
  <si>
    <t>Областной бюджет</t>
  </si>
  <si>
    <t>Бюджет муниципального образования</t>
  </si>
  <si>
    <t>Общая стоимость капитального 
ремонта, рублей</t>
  </si>
  <si>
    <t>Адрес многоквартирного дома</t>
  </si>
  <si>
    <t xml:space="preserve">КРАТКОСРОЧНЫЙ ПЛАН </t>
  </si>
  <si>
    <t>реализации Региональной программы капитального ремонта общего имущества в многоквартирных домах, расположенных на территории Курской области, на 2017-2019 годы</t>
  </si>
  <si>
    <t>Средства собствен-ников помещений</t>
  </si>
  <si>
    <t>4/х</t>
  </si>
  <si>
    <t>Касторенский район (20)</t>
  </si>
  <si>
    <t>д. Сергеевка, ул. Центральная, д.49</t>
  </si>
  <si>
    <t>д. Амосовка, д.11</t>
  </si>
  <si>
    <t>п. Камыши, д.26</t>
  </si>
  <si>
    <t>Советский район (2)</t>
  </si>
  <si>
    <t>ст. Шерекино, ул. Привокзальная, д.4</t>
  </si>
  <si>
    <t>ИТОГО за 2019 год</t>
  </si>
  <si>
    <t>ИТОГО за 2017-2019 годы</t>
  </si>
  <si>
    <t>инженерные сети электроснабжения</t>
  </si>
  <si>
    <t>инженерные сети теплоснабжения</t>
  </si>
  <si>
    <t>инженерные сети газоснабжения</t>
  </si>
  <si>
    <t>инженерные сети водоснабжения</t>
  </si>
  <si>
    <t>инженерные сети водоотведения</t>
  </si>
  <si>
    <t>лифтовое оборудование</t>
  </si>
  <si>
    <t>ремонт крыши</t>
  </si>
  <si>
    <t>ремонт подвальных помещений</t>
  </si>
  <si>
    <t xml:space="preserve"> ремонт фасада</t>
  </si>
  <si>
    <t>ремонт фундамента</t>
  </si>
  <si>
    <t>замена дверей, окон в МОП</t>
  </si>
  <si>
    <t>разработка проектной документации</t>
  </si>
  <si>
    <t>Курчатовский район (8)</t>
  </si>
  <si>
    <t>г. Щигры (12)</t>
  </si>
  <si>
    <t>12/-</t>
  </si>
  <si>
    <t>Золотухинский район (1)</t>
  </si>
  <si>
    <t>Обоянский район (2)</t>
  </si>
  <si>
    <t>Фатежский район (1)</t>
  </si>
  <si>
    <t>Горшеченский район (3)</t>
  </si>
  <si>
    <t>Железногорский район (8)</t>
  </si>
  <si>
    <t>Курский район (9)</t>
  </si>
  <si>
    <t>Пристенский район (2)</t>
  </si>
  <si>
    <t>Дмитриевский район (3)</t>
  </si>
  <si>
    <t>Кореневский район (1)</t>
  </si>
  <si>
    <t>Советский район (1)</t>
  </si>
  <si>
    <t>Черемисиновский район (1)</t>
  </si>
  <si>
    <t>Хомутовский район (4)</t>
  </si>
  <si>
    <t>Мантуровский район (3)</t>
  </si>
  <si>
    <t>Обоянский район (1)</t>
  </si>
  <si>
    <t>Курск г. (3)</t>
  </si>
  <si>
    <t>Код МКД в ГИС-ЖКХ</t>
  </si>
  <si>
    <t>6D1F3995-76A6-4D76-9503-DED2EEF0DD8A</t>
  </si>
  <si>
    <t>E63501F4-C34E-4234-ABFE-DA742E50EE70</t>
  </si>
  <si>
    <t>9F2DA731-16EB-4FA8-8EF1-E78BC5B4233D</t>
  </si>
  <si>
    <t>841A3A5B-3594-4AA9-9CCE-320F80A119FE</t>
  </si>
  <si>
    <t>A3C45BF3-0CFC-4B89-8D0E-441410A936AF</t>
  </si>
  <si>
    <t>DC691099-8CC7-43CA-9633-BE79E2778AD2</t>
  </si>
  <si>
    <t>CE3588DE-072E-4EB0-86F0-890943AF41D5</t>
  </si>
  <si>
    <t>FFE48843-DD42-4EF8-9930-840AC6F5D0CE</t>
  </si>
  <si>
    <t>ED5847EC-C3E3-4555-9B01-06D46AD94D6A</t>
  </si>
  <si>
    <t>32F2DDC0-F797-4056-8E22-8F21DDFC348E</t>
  </si>
  <si>
    <t>1C6FC0EC-DD45-4CD0-A387-C6388D004039</t>
  </si>
  <si>
    <t>86E527B6-3149-465D-8901-F635958C4363</t>
  </si>
  <si>
    <t>321E878B-1A8F-492A-B3C0-66DF3FD479FE</t>
  </si>
  <si>
    <t>F16ED233-89B8-49DF-BC42-7F224A0CA01A</t>
  </si>
  <si>
    <t>926EB1D0-FCEA-4D57-8BA7-F40AD9DCF3F8</t>
  </si>
  <si>
    <t>0B1C12CD-ECB1-446F-B32E-ED4CB0128251</t>
  </si>
  <si>
    <t>DD4A6415-5E24-4358-9BF2-233C5D48F210</t>
  </si>
  <si>
    <t>ADE6601B-1D10-4B43-8334-8234BBC9A23C</t>
  </si>
  <si>
    <t>FC38E8B8-C8F1-44A9-B549-06FBA5B53943</t>
  </si>
  <si>
    <t>A880A7CC-26F3-4B12-8463-DD1A40F91AAF</t>
  </si>
  <si>
    <t>A6985BEC-8EE9-4326-BA5E-DD005AEC3667</t>
  </si>
  <si>
    <t>8C8DB19F-C4F7-4C40-88D6-A5101D04EA2B</t>
  </si>
  <si>
    <t>4A75ECDA-6060-4C70-BA4E-91BD846CAEA1</t>
  </si>
  <si>
    <t>D75B8CA0-8350-40D6-95A1-89931778E927</t>
  </si>
  <si>
    <t>F2F4575D-3ADF-4A0C-BC19-D5FA91D48BBB</t>
  </si>
  <si>
    <t>73134011-33AC-4C4C-9D83-B64D5EB0AD64</t>
  </si>
  <si>
    <t>AF8A98B3-43C0-4551-BBFA-8616027627DB</t>
  </si>
  <si>
    <t>37F263BE-E958-40EC-8424-079CF6D62F9A</t>
  </si>
  <si>
    <t>E0026BA1-B2BF-47A2-B802-C485383E6D65</t>
  </si>
  <si>
    <t>6412F727-0982-4CF6-8FE3-2329CCF11EE1</t>
  </si>
  <si>
    <t>AE7AA5A8-8EA7-4CDE-994C-E3ED925122FA</t>
  </si>
  <si>
    <t>B2760AAC-87D5-4479-AE7D-CADB8A080862</t>
  </si>
  <si>
    <t>0E569631-6C72-4416-9C01-96180247CA85</t>
  </si>
  <si>
    <t>E348B9B0-4F6F-4C2B-B1F1-7540F8E431DA</t>
  </si>
  <si>
    <t>10E9D7F7-E571-4F3A-832A-2C7614125476</t>
  </si>
  <si>
    <t>E409078F-1DE3-40F7-BCA5-79D0F53FDFD7</t>
  </si>
  <si>
    <t>7E8BF4A5-BC8B-45DC-BF5D-6FF162AACE99</t>
  </si>
  <si>
    <t>E21CBA3B-D722-49C4-B794-ECA65528172F</t>
  </si>
  <si>
    <t>CD413FCC-9C65-411C-A8E7-34608E01A20D</t>
  </si>
  <si>
    <t>94C2022D-65A2-42A8-ACD4-E4993B2BE05B</t>
  </si>
  <si>
    <t>88D490B5-B3C4-4958-A638-99C3E87FAF36</t>
  </si>
  <si>
    <t>AB68D4B5-27D9-4F07-BC0D-AC3C9724ED5A</t>
  </si>
  <si>
    <t>29DC74CF-D115-4E8D-AC26-2106B9A30D24</t>
  </si>
  <si>
    <t>2320AC6C-E750-4881-8E39-9552DBA2BC39</t>
  </si>
  <si>
    <t>70171AE2-7777-4638-8B71-4816A87DABF1</t>
  </si>
  <si>
    <t>C23F04DC-524F-4826-BCB4-6B720F3398BB</t>
  </si>
  <si>
    <t>F46A6F81-B4DE-492C-8F2A-999A9DB2AC4A</t>
  </si>
  <si>
    <t>46F16AEE-A8B3-4A93-AF16-A4147C5FBE2F</t>
  </si>
  <si>
    <t>E10CEEC8-FA71-4403-9268-E726AE6CAC06</t>
  </si>
  <si>
    <t>D205E8E0-3D98-411B-A144-12A4878233DE</t>
  </si>
  <si>
    <t>57DF36E0-72CF-4A46-9008-FCB82B88E363</t>
  </si>
  <si>
    <t>6CCB1742-B927-47AB-92BF-EEF3BE8459CE</t>
  </si>
  <si>
    <t>4B500CD1-74D8-491B-A617-5207A145FEC8</t>
  </si>
  <si>
    <t>0216B52D-60DC-490A-944E-0896FBD968EF</t>
  </si>
  <si>
    <t>366073A9-6E9D-4A22-9B88-DF169A99CEC0</t>
  </si>
  <si>
    <t>B55D59F6-E6B4-41B7-9B63-55B11698EE49</t>
  </si>
  <si>
    <t>692AF7CA-3046-44C8-B6A2-FBF28471DBA4</t>
  </si>
  <si>
    <t>BFDEAB28-0FD4-4D60-AB27-40F559CB4952</t>
  </si>
  <si>
    <t>9F930FD1-61E2-4950-B774-B8445171D2D5</t>
  </si>
  <si>
    <t>A37306C4-2679-47F7-87E6-FD33BE20D35A</t>
  </si>
  <si>
    <t>BDE46A79-F6F6-4A04-B546-E936601C256F</t>
  </si>
  <si>
    <t>6F0F0F8C-34B8-4698-93AE-C0002AB6B496</t>
  </si>
  <si>
    <t>CC420FD4-4463-4D8D-9E31-EF09B94091E9</t>
  </si>
  <si>
    <t>FDAE0B0D-F3CA-46CE-AAD1-4DC44BA1FE97</t>
  </si>
  <si>
    <t>C2853EAB-5C4E-4FBB-BA57-9605A1E0F5CC</t>
  </si>
  <si>
    <t>EB67FA0D-6759-406B-9C1A-B8562DF737B9</t>
  </si>
  <si>
    <t>3D25BFE9-71D3-4AED-938D-FBB360D73490</t>
  </si>
  <si>
    <t>B3C82630-C009-4F01-B2BC-49CFA57313E1</t>
  </si>
  <si>
    <t>F7FF3066-7FB2-4398-A5F3-165DA1AF7D3E</t>
  </si>
  <si>
    <t>DB9FC823-2174-4D3A-9D96-943B486276AD</t>
  </si>
  <si>
    <t>A7A7D95B-2EAC-4079-9726-6412A65D4A4C</t>
  </si>
  <si>
    <t>44E299DC-E756-46AB-AC1E-1970B1FF1081</t>
  </si>
  <si>
    <t>44A4D78E-991D-4F86-BD4A-6A0F43C857A3</t>
  </si>
  <si>
    <t>3DA23EC4-4E1E-4424-B4D2-C963CA40AC0E</t>
  </si>
  <si>
    <t>B27EE6A7-FBDA-40CB-9F8E-7B45092B61B1</t>
  </si>
  <si>
    <t>DC39C92B-2DA9-41A6-B8B7-1509271063AC</t>
  </si>
  <si>
    <t>CF23807A-A3C3-4722-9693-D5B4F7FC56B1</t>
  </si>
  <si>
    <t>121A1FDA-FBEF-4ADB-9F58-65574DB187D0</t>
  </si>
  <si>
    <t>0C096919-93B5-43F6-BB96-3977CD253E3A</t>
  </si>
  <si>
    <t>067EF94E-8F73-4E54-AD22-83361CEA514C</t>
  </si>
  <si>
    <t>D116F099-533D-425D-9474-D2C54609265A</t>
  </si>
  <si>
    <t>4E3A886C-92C2-466D-A7B0-325E173661FD</t>
  </si>
  <si>
    <t>4AB74F57-E364-4EC9-98C2-2EBBFC717FE6</t>
  </si>
  <si>
    <t>0D86E564-9055-4222-ADF7-0B45173C3F51</t>
  </si>
  <si>
    <t>44059AC3-1D36-4B53-8937-95EBED806DC0</t>
  </si>
  <si>
    <t>7AAC4149-F09C-41F8-8D65-ACA1BFAD65B8</t>
  </si>
  <si>
    <t>CA13436A-4CA2-4276-BC60-D260B483DC80</t>
  </si>
  <si>
    <t>A1918FE3-DDD2-4825-98BF-EB9BCC5C7277</t>
  </si>
  <si>
    <t>89A67672-C487-4621-9D1D-1E33C845F5CB</t>
  </si>
  <si>
    <t>2962E870-B37D-4038-A8C6-F4D15806DA78</t>
  </si>
  <si>
    <t>77A84DC2-3DCB-45E1-9601-2D31973E5D4F</t>
  </si>
  <si>
    <t>C56577E5-415F-4C14-92CF-9DDEDD9EBDF4</t>
  </si>
  <si>
    <t>4B4BEE3C-C8B5-47FF-8AA3-4738A29360CC</t>
  </si>
  <si>
    <t>9E795E56-FF90-4F1E-B51F-20B6D990994F</t>
  </si>
  <si>
    <t>66CEF242-3320-4BBA-9662-92D047F4C862</t>
  </si>
  <si>
    <t>C0055672-0651-4ADD-86CB-83B794C3A781</t>
  </si>
  <si>
    <t>7DB45076-B888-4399-BED3-F69D26CDE063</t>
  </si>
  <si>
    <t>C848850A-4783-42EC-A246-66F4A9A9E082</t>
  </si>
  <si>
    <t>F63AE5D6-4C6D-43F2-A3F8-BB50754ED0D2</t>
  </si>
  <si>
    <t>0BCD17BD-442C-466C-A254-507D8DC44D87</t>
  </si>
  <si>
    <t>4D5A47E8-C8C8-44AD-B63C-FFF9E2D68E29</t>
  </si>
  <si>
    <t>17C67048-E60C-461E-8DCD-4E6E58EA11C2</t>
  </si>
  <si>
    <t>B6D199B1-18A5-4BCF-ADDB-2CD8875AEE5D</t>
  </si>
  <si>
    <t>DA46E4D6-6933-49C9-BE55-1391C369E2B2</t>
  </si>
  <si>
    <t>EDE68267-7DE8-4736-99F8-BAE6904154AD</t>
  </si>
  <si>
    <t>04F87013-589C-49D0-AEA8-2D3CE96770B3</t>
  </si>
  <si>
    <t>152337D6-FA49-4F06-8C69-2553BB809DAF</t>
  </si>
  <si>
    <t>3A5F32A2-24B2-489B-8ABD-77BE8260ABC2</t>
  </si>
  <si>
    <t>03DE062E-C7C5-460B-9A0D-20D4C9B23F5B</t>
  </si>
  <si>
    <t>456B82C0-458A-47B6-A7B3-56181427D8E1</t>
  </si>
  <si>
    <t>1B2F345A-1036-4DA9-95CD-E1AFB0881C10</t>
  </si>
  <si>
    <t>E77F3E06-4A7C-4B80-B9E5-63E2B9113189</t>
  </si>
  <si>
    <t>B273CACC-41DC-4110-9751-A6688F2346F6</t>
  </si>
  <si>
    <t>0DF8030B-496E-4FF9-B6E3-D0387CA59BEE</t>
  </si>
  <si>
    <t>F79C6727-F591-403A-9015-92BDE1A8F1BE</t>
  </si>
  <si>
    <t>4A00A432-6B1C-4E68-B271-20225AFDA4C9</t>
  </si>
  <si>
    <t>A18BA3B7-C81E-49EC-ACF0-609E2E696131</t>
  </si>
  <si>
    <t>A3E1DFBD-438B-493D-975C-6BCBF2B3AC1E</t>
  </si>
  <si>
    <t>4F93AE63-414C-4C84-A6E8-BF4EF5529A1A</t>
  </si>
  <si>
    <t>81AC9F96-883E-450A-BEBC-F51412818834</t>
  </si>
  <si>
    <t>9582A9DC-61D6-4A3B-8A87-32FBADC6F7D9</t>
  </si>
  <si>
    <t>F58B24DC-7BCC-499E-ABA9-5C5B0065F37F</t>
  </si>
  <si>
    <t>D643696A-3880-4911-8F83-1D17327C428C</t>
  </si>
  <si>
    <t>218A7F15-BC1E-4C8A-8AC3-5FF35AB659D1</t>
  </si>
  <si>
    <t>623CB3F8-D671-4037-9632-D0C9FFA70144</t>
  </si>
  <si>
    <t>FE791963-BF7F-4FCF-BD24-A3940BA8D8E2</t>
  </si>
  <si>
    <t>DE7F9763-60CB-42C8-AE8D-2F24BD3F800D</t>
  </si>
  <si>
    <t>C3C6FB02-07C9-4ECD-9761-C1564AE2976A</t>
  </si>
  <si>
    <t>CE975A94-F845-431E-9802-D02AC2F66D55</t>
  </si>
  <si>
    <t>C9532895-95C2-49C1-9B84-EF5777D7CC0D</t>
  </si>
  <si>
    <t>2EB4B6B3-16E5-486D-9522-BC0B259BB9A8</t>
  </si>
  <si>
    <t>0080B46A-CEF2-4AB9-B452-F69AA1351121</t>
  </si>
  <si>
    <t>1BFEA788-565A-49B9-A6C7-BE07C8F4B21F</t>
  </si>
  <si>
    <t>DCADC4C0-3465-4740-A573-D27107BD316D</t>
  </si>
  <si>
    <t>1CFE3205-D771-4025-91CD-94FF7645E002</t>
  </si>
  <si>
    <t>D26075E8-758A-402F-A6B4-5F318C6D1C43</t>
  </si>
  <si>
    <t>2AC5751C-5483-46B0-B06C-F6DC59AA7123</t>
  </si>
  <si>
    <t>3FF0E8BE-7078-46C6-9362-9ADBCB149FF0</t>
  </si>
  <si>
    <t>2F97D3FB-F7D5-42EA-8B82-9D905D07498E</t>
  </si>
  <si>
    <t>39D4C30B-BED9-4C97-BF95-C5D39B7D1DB5</t>
  </si>
  <si>
    <t>F401C193-0826-4BDC-B2A0-118442DC56D0</t>
  </si>
  <si>
    <t>5267BFD2-6DD7-49CF-839F-B3640BBF7639</t>
  </si>
  <si>
    <t>0785E8B5-FF6F-4CD6-B6E8-3A0290DC734A</t>
  </si>
  <si>
    <t>D0A1D0D9-66D3-4F1E-A1DC-42EED24C5C08</t>
  </si>
  <si>
    <t>FD3631C8-2B6A-4047-8E79-4BDB535F737C</t>
  </si>
  <si>
    <t>6DD18297-9E1F-4164-8036-B9CDDC1A8B07</t>
  </si>
  <si>
    <t>DD618070-BB81-4C17-A6B2-F5DF4F0D48E1</t>
  </si>
  <si>
    <t>F04D102E-9490-420E-A841-384FAB5BAD35</t>
  </si>
  <si>
    <t>41557D62-6080-4493-92C8-C22DC001DEBA</t>
  </si>
  <si>
    <t>35CDD59A-3B58-426B-BB14-01D4AAC5B079</t>
  </si>
  <si>
    <t>A3DC73FE-ABC4-46D0-91F1-AE93711BD78E</t>
  </si>
  <si>
    <t>43CFDB33-9BC4-4E83-8B68-F6453B62F30B</t>
  </si>
  <si>
    <t>12915452-7703-4B0E-A57B-118429B3C785</t>
  </si>
  <si>
    <t>CFF092DC-30D7-4E7F-9522-96667FAEDF4D</t>
  </si>
  <si>
    <t>C77EF707-DEB4-444C-A04D-AA1E1271AE79</t>
  </si>
  <si>
    <t>F0E827A7-3B28-426D-89D7-A59B9395E3E2</t>
  </si>
  <si>
    <t>423759B5-C695-4B71-889C-E1C32C842F1B</t>
  </si>
  <si>
    <t>006EF321-FE8D-4DDC-BEB8-131C03F2984F</t>
  </si>
  <si>
    <t>CCA17DE6-2932-463D-ABBB-A656070EB6DF</t>
  </si>
  <si>
    <t>86638D7B-5323-4234-890A-B1FFF3FB98F4</t>
  </si>
  <si>
    <t>1CD3262D-C342-4105-A5E0-E041F7FCB5A9</t>
  </si>
  <si>
    <t>6A947AAF-960E-4C9F-968C-DA98EC293F96</t>
  </si>
  <si>
    <t>BA03493E-EA69-4F4A-B751-5BF6DAFF452B</t>
  </si>
  <si>
    <t>9497A374-1771-49C2-9003-A02C487AAF93</t>
  </si>
  <si>
    <t>FDC6430D-E85B-4A10-9667-D23B347BDA8F</t>
  </si>
  <si>
    <t>6D787A4C-F1B3-48C6-A0A2-658E737A98E2</t>
  </si>
  <si>
    <t>D8AEA6AE-CBF0-43D2-BFE3-C551BA1CFE8E</t>
  </si>
  <si>
    <t>E954088F-CB90-4A3D-AC27-7B33E7425F25</t>
  </si>
  <si>
    <t>F4E9E840-E993-4D65-99D6-92C16FAD217D</t>
  </si>
  <si>
    <t>D2B39B6B-D845-4345-83C1-C166D0A310FD</t>
  </si>
  <si>
    <t>4D7DFDA7-016B-4806-B550-C9A97ED139D0</t>
  </si>
  <si>
    <t>F6C63C09-4449-4AFF-ADA7-7AB463CDFC8D</t>
  </si>
  <si>
    <t>2A57C48C-C94F-422F-8B45-7166E0B17230</t>
  </si>
  <si>
    <t>7E7FF1D3-90B8-4E6D-86ED-20EBCBABEBB5</t>
  </si>
  <si>
    <t>E7118F8B-F0B0-468A-92D3-1276E34C642E</t>
  </si>
  <si>
    <t>EB89F1D4-A409-496A-81D9-67FE0E3C02BD</t>
  </si>
  <si>
    <t>99255297-BC40-4C5B-B16A-F58E534223AF</t>
  </si>
  <si>
    <t>59117C85-2EF5-4ACA-9080-37D56ED52B9C</t>
  </si>
  <si>
    <t>380C987D-E6F4-473B-88C6-FF34ABDC4DF1</t>
  </si>
  <si>
    <t>3A9ABB93-B303-4A16-AC7D-9B03FCD5AC1B</t>
  </si>
  <si>
    <t>8CDCE2EA-6A3C-4283-82B0-D2FC282A18B4</t>
  </si>
  <si>
    <t>FAF482B8-EFEB-4DD4-9B1A-EDEB871F84B0</t>
  </si>
  <si>
    <t>B9014A4A-0C1D-4C3D-9CC2-057D531C4943</t>
  </si>
  <si>
    <t>D6BE33EE-4AAC-490E-9750-9CCEDFF12278</t>
  </si>
  <si>
    <t>F7D625A2-27E4-4D2B-940D-CB7A90777898</t>
  </si>
  <si>
    <t>B0888B14-4D76-4A6A-9BF7-81E95AB1B1F3</t>
  </si>
  <si>
    <t>FD030E10-1A8B-44AD-8A75-7F9BAD53A5E4</t>
  </si>
  <si>
    <t>DC40C250-F00E-49E3-ADE6-4069FDDDC741</t>
  </si>
  <si>
    <t>BCF8385F-5A8C-4C98-9ADF-5487189F88A4</t>
  </si>
  <si>
    <t>461B15FC-194A-42F3-AE27-6C161288AA75</t>
  </si>
  <si>
    <t>A8046F3B-148A-4D99-9588-0D200D0A6C82</t>
  </si>
  <si>
    <t>33B091C4-9672-4E91-9F62-939C2559DFC7</t>
  </si>
  <si>
    <t>6EC3D9A5-6F8F-4893-84D5-4DBA90611B19</t>
  </si>
  <si>
    <t>DA496E0E-86E6-4EC7-AD37-9829A6C52635</t>
  </si>
  <si>
    <t>1E8AA578-24B6-44F5-9352-5CCEB3775F3D</t>
  </si>
  <si>
    <t>4D4A8A89-5010-4F87-83FA-86602AC7ED67</t>
  </si>
  <si>
    <t>1F075673-4254-4E27-B24D-F985E5ABD96A</t>
  </si>
  <si>
    <t>7B80A222-AD06-4ADE-8001-B57B4FA981C5</t>
  </si>
  <si>
    <t>523B34F2-6B6C-46F3-8CD7-BF2EBDE67D2B</t>
  </si>
  <si>
    <t>16906440-430C-4FAC-BCC6-BF24090A568F</t>
  </si>
  <si>
    <t>F4A91333-4166-4AE9-AA4D-3E2CA7DD39E6</t>
  </si>
  <si>
    <t>3600DB5C-CCB9-4B97-AB26-5A39987BA100</t>
  </si>
  <si>
    <t>3D264DD9-11D4-4EC2-80FE-D388F1E51CCF</t>
  </si>
  <si>
    <t>09E129B2-EABA-4E58-AD92-A1202547B42D</t>
  </si>
  <si>
    <t>7E5351F2-3CE7-4E07-8280-45B2FB2FB09F</t>
  </si>
  <si>
    <t>1CDB399B-0973-477C-BA14-67B6207B93BC</t>
  </si>
  <si>
    <t>21A086A7-0FEF-41B0-B71D-A947DBB9F492</t>
  </si>
  <si>
    <t>B947A9B1-E20C-4B13-A40F-03F172030AF6</t>
  </si>
  <si>
    <t>22EF1626-234E-41EC-A9E3-D7880ECFC144</t>
  </si>
  <si>
    <t>7A2724F4-429D-44A9-9C60-314992B56E8A</t>
  </si>
  <si>
    <t>342301E3-4424-403D-AF3E-D9012EDF7AFE</t>
  </si>
  <si>
    <t>871D34A0-C4E3-4D7F-876E-ED7AAC839753</t>
  </si>
  <si>
    <t>4CA1EA8E-9412-443E-8BFD-B84A38E42BEB</t>
  </si>
  <si>
    <t>326D4EF7-BE06-467A-AC71-2C845ECF31B0</t>
  </si>
  <si>
    <t>F5F4CC68-DFE5-4884-BCE6-0A4895627546</t>
  </si>
  <si>
    <t>6A6D19E9-8810-40F2-831A-04E0266EC002</t>
  </si>
  <si>
    <t>9B7DAE01-8B19-4D2C-94D5-6E68DF987AB2</t>
  </si>
  <si>
    <t>FB76B72B-AC39-482C-84FA-60814B1BD4B7</t>
  </si>
  <si>
    <t>7F475333-DD72-462D-99DC-728D348381E4</t>
  </si>
  <si>
    <t>967862FC-4AB6-4895-9930-ADA096899235</t>
  </si>
  <si>
    <t>90F5A7F5-7143-46B1-B643-E46810F6FE00</t>
  </si>
  <si>
    <t>4FEABCEC-2D1F-41E1-A18C-1D92437C454E</t>
  </si>
  <si>
    <t>3ADB1458-E542-428B-9D26-32559008BF75</t>
  </si>
  <si>
    <t>6FD37CB9-F5A0-4F09-8F81-49887667075B</t>
  </si>
  <si>
    <t>3D46A7AF-2D88-44D1-85C7-7F8D71D0D232</t>
  </si>
  <si>
    <t>3F5913DD-C386-469E-8083-7FCE92F3EF54</t>
  </si>
  <si>
    <t>5F6A7568-2988-4235-B372-9044946F953D</t>
  </si>
  <si>
    <t>B08B470D-101D-44B6-BAB0-164915942E17</t>
  </si>
  <si>
    <t>43B9F743-79A2-40FD-8732-98C150399D5D</t>
  </si>
  <si>
    <t>56B04162-A91E-474E-9407-5514E21D12B0</t>
  </si>
  <si>
    <t>9F8C25CE-A96D-4E89-8A0C-6749E1C51EA3</t>
  </si>
  <si>
    <t>7E6C632D-1192-4C8F-A83D-E96838E2C301</t>
  </si>
  <si>
    <t>BD7E49EB-87CE-4D3B-B962-4A8BE0F1EDF8</t>
  </si>
  <si>
    <t>9C20E757-8F12-47A2-A707-1E55E20B90D2</t>
  </si>
  <si>
    <t>7F5D1EE0-1EAE-4598-875E-3909676C73BD</t>
  </si>
  <si>
    <t>B4215F03-0EB4-4B68-A910-EC410372F284</t>
  </si>
  <si>
    <t>CB5CA8EB-94D0-49F3-A120-BECBB61A8F24</t>
  </si>
  <si>
    <t>A1B590E1-4C61-4465-A0A9-60555A19262E</t>
  </si>
  <si>
    <t>CA749E84-F857-4865-A065-12A12114F305</t>
  </si>
  <si>
    <t>5500D9C1-6ADE-4FC1-87AB-A8B718AC4CEB</t>
  </si>
  <si>
    <t>AE00DCE4-28EB-44EF-AD56-AE2731C41430</t>
  </si>
  <si>
    <t>92E89C1D-9702-4D9E-870F-072DF5BA953D</t>
  </si>
  <si>
    <t>6C823B27-E447-4524-A3C0-6751E6DC4ABA</t>
  </si>
  <si>
    <t>9192FA83-B14D-4211-8672-FB5947022EC6</t>
  </si>
  <si>
    <t>59B22C3C-4E1F-47B4-8444-9BAECE7922DA</t>
  </si>
  <si>
    <t>3B6630A9-B32C-426E-BCEB-F82E7A1C45E7</t>
  </si>
  <si>
    <t>20DF938E-6B07-483C-9BE1-971611BFFA8B</t>
  </si>
  <si>
    <t>3714EA74-1D7A-47A6-B0B9-7BE99F229D15</t>
  </si>
  <si>
    <t>39DF8D5B-2E63-41DB-8336-6B687B9DA076</t>
  </si>
  <si>
    <t>5ECAD031-2CEC-4B77-AD53-162B5CB0AF72</t>
  </si>
  <si>
    <t>1BEF7331-F8AD-411F-AF1B-8F752C14F9A8</t>
  </si>
  <si>
    <t>0B8CB2E5-3BA7-42DB-8D43-001CB8A15B89</t>
  </si>
  <si>
    <t>69264C3F-67AB-41F9-B02B-904D1F875D0E</t>
  </si>
  <si>
    <t>F11721D0-D411-43A7-8BF5-D2856EFB0BC1</t>
  </si>
  <si>
    <t>8BA4D3E7-E1FF-429A-8CEB-5F70EDA3BEF0</t>
  </si>
  <si>
    <t>46C02402-1EE0-41F0-A03E-1C5D483748BF</t>
  </si>
  <si>
    <t>C81FC552-217A-4359-9ACD-808EBEA69951</t>
  </si>
  <si>
    <t>102FDAA8-5BB7-4D64-B9FD-CD6861BBED6E</t>
  </si>
  <si>
    <t>BB7992F9-5844-427A-A823-8205EA5E52F1</t>
  </si>
  <si>
    <t>C48A1210-693D-4449-88C8-4233D1AB7623</t>
  </si>
  <si>
    <t>ED207BBD-23F3-4507-8E1C-6ADBC067AECD</t>
  </si>
  <si>
    <t>1CC365A1-CF02-4F73-BF20-FE54EB305D6C</t>
  </si>
  <si>
    <t>ABFC512B-A142-4F3A-9284-4CC2F70AF487</t>
  </si>
  <si>
    <t>2DBB770A-A24C-4058-8759-C1898FB56EB5</t>
  </si>
  <si>
    <t>798376CC-AFD5-4EE4-8D5F-641068CD7BAD</t>
  </si>
  <si>
    <t>8436C3B6-89F7-4FCD-AA29-2F3EEFC01FC9</t>
  </si>
  <si>
    <t>2646EDF7-76A0-4F48-B980-A822B4522F16</t>
  </si>
  <si>
    <t>BD7BA9DF-939C-4A95-AE8F-9785FD7C24B6</t>
  </si>
  <si>
    <t>282EC888-1DA8-4A3D-9314-97C5F5ACB41F</t>
  </si>
  <si>
    <t>9E43F354-38BE-4CA4-B94A-833A5E4528AC</t>
  </si>
  <si>
    <t>EFC68655-2461-4062-8C6F-D27FD2FD0908</t>
  </si>
  <si>
    <t>D09E8CC7-02A4-46B9-8438-E1DBEF60E818</t>
  </si>
  <si>
    <t>21F77AE0-28C9-44EE-A4F1-F88C924BE8DE</t>
  </si>
  <si>
    <t>10B015E6-3932-4172-A74B-EACD2F714BAC</t>
  </si>
  <si>
    <t>44523D3F-A248-4ACE-A32C-87847C7168DC</t>
  </si>
  <si>
    <t>538FDCD0-CD00-4325-A105-E633BB14CC59</t>
  </si>
  <si>
    <t>5EB2736C-B5CC-43A3-ADEF-ED7645395B3A</t>
  </si>
  <si>
    <t>7C169A32-9F49-4C4B-8E4C-7992A33CD0CD</t>
  </si>
  <si>
    <t>3DE32BC6-2A7F-49CA-B368-623117D62878</t>
  </si>
  <si>
    <t>D94D6C3B-4E85-4F5A-999A-A42A40714CF8</t>
  </si>
  <si>
    <t>75195284-7A36-4008-98A8-101587BBDFF4</t>
  </si>
  <si>
    <t>9D7CB411-9D60-451F-A242-9B489B5B3A3B</t>
  </si>
  <si>
    <t>451587A0-9EC8-4AF1-B414-4F426C238DB2</t>
  </si>
  <si>
    <t>61A494D9-DE1F-424A-A024-70A91A80C21C</t>
  </si>
  <si>
    <t>609B5EF8-78D2-42DE-A808-B203D13E0E4E</t>
  </si>
  <si>
    <t>821BE690-DA69-4244-864A-25CD998DF619</t>
  </si>
  <si>
    <t>54AEE3AA-61BB-4FCA-8BB0-B459540A31B2</t>
  </si>
  <si>
    <t>7ABEFA4C-0AF8-4EBA-B81A-0C1B72D9B625</t>
  </si>
  <si>
    <t>A6A556A9-2976-4CAA-B30F-52595FE23192</t>
  </si>
  <si>
    <t>449FDAD0-AE2F-4419-9E28-E823A33E0385</t>
  </si>
  <si>
    <t>DD0F1F64-4E35-4195-AC2B-2FA35F5176E0</t>
  </si>
  <si>
    <t>FCA991FE-7C3B-46FB-A5D3-ADAF58726F04</t>
  </si>
  <si>
    <t>1B1BF168-7357-4F0A-8504-4C887BB65FA0</t>
  </si>
  <si>
    <t>61B5E02C-92D6-466F-B0C8-E20F49D00E56</t>
  </si>
  <si>
    <t>BAB9C238-6198-47FA-816C-A91301E99DCF</t>
  </si>
  <si>
    <t>0FDE8260-0C2C-4721-A30B-05D3D862875F</t>
  </si>
  <si>
    <t>92C07ABA-FBD6-49F4-B3CA-46796E2D0DA0</t>
  </si>
  <si>
    <t>412E4E2F-A04F-4C84-9A92-EC9FF976CA27</t>
  </si>
  <si>
    <t>81F1C705-538B-4B60-9CA9-803E2F2736B1</t>
  </si>
  <si>
    <t>D4206C52-D3A9-475F-93CB-124805010201</t>
  </si>
  <si>
    <t>BD6156FD-C6FF-404D-8470-47A2EC4C0863</t>
  </si>
  <si>
    <t>3F9A1E86-B97F-483A-BD69-B9B978D61E5A</t>
  </si>
  <si>
    <t>120DEA49-494F-4ADA-A9AC-0A737BBE5497</t>
  </si>
  <si>
    <t>254FED36-4F87-48BD-BEE7-70E9831AA5BC</t>
  </si>
  <si>
    <t>2870312A-D56E-4588-988C-3D7B1157D35A</t>
  </si>
  <si>
    <t>787A08AF-713E-48FB-97B9-C7FCD58D50FA</t>
  </si>
  <si>
    <t>5646E1D6-2FFE-4465-9557-5B0DC46228FB</t>
  </si>
  <si>
    <t>F61BFCBC-7DFE-4DD1-8B72-C9B781BECE0A</t>
  </si>
  <si>
    <t>BB935104-3AA5-40AF-957C-22E6ABA25DD0</t>
  </si>
  <si>
    <t>E688A83F-E61F-4D02-A068-8F75F6B69D17</t>
  </si>
  <si>
    <t>3D1B77B4-F46A-4849-9151-7D7895150ED9</t>
  </si>
  <si>
    <t>3433CEA7-7B78-4D29-B416-EECB90D2EA31</t>
  </si>
  <si>
    <t>94E282F5-8335-4883-B1F6-AEE1A43F9AAC</t>
  </si>
  <si>
    <t>A98EADFE-E6CA-40D7-8F02-E1B439715FA5</t>
  </si>
  <si>
    <t>D1135E8D-F953-4838-B433-AE072372DAB3</t>
  </si>
  <si>
    <t>9B2EBD70-8591-41E0-A571-9DC9266140C8</t>
  </si>
  <si>
    <t>143A5E6A-98E9-4C97-9531-444554FE3754</t>
  </si>
  <si>
    <t>F57135CB-79ED-40A2-AAB6-18DBD937CE45</t>
  </si>
  <si>
    <t>0F93BD02-5CD5-4B63-8CE6-D3534E289FA0</t>
  </si>
  <si>
    <t>78DCDEC5-73D3-402A-A33B-E0151919B157</t>
  </si>
  <si>
    <t>373E29D5-7BCC-4B21-9C29-575A94D9DAEA</t>
  </si>
  <si>
    <t>43B4DAA8-EE67-4A79-948F-1C3DA9E79D83</t>
  </si>
  <si>
    <t>3C9B37C6-7E93-4D52-BBF1-01D98F80FFEF</t>
  </si>
  <si>
    <t>B6B8B6DA-E130-4F82-94CE-3B055F48AE1D</t>
  </si>
  <si>
    <t>A1A4F7E0-C0E9-4D7F-977C-9F23A5A4479C</t>
  </si>
  <si>
    <t>8B0CD014-36EC-4AC6-A7C9-13F4A8F317B0</t>
  </si>
  <si>
    <t>F5DBD3D0-A14E-426C-A576-E6573B82DE5F</t>
  </si>
  <si>
    <t>F8439266-43D1-4CFD-BFB8-CC85E454CB7B</t>
  </si>
  <si>
    <t>4DC5528A-F38E-409C-B60E-A49894875584</t>
  </si>
  <si>
    <t>0E7956BE-B237-45FF-899E-389D5FB257A6</t>
  </si>
  <si>
    <t>BD4972CB-4DEA-4911-AAAD-A4B6CF689A07</t>
  </si>
  <si>
    <t>6984ED1B-AF9A-4595-BCDB-12F8D3BC7F0D</t>
  </si>
  <si>
    <t>C7060FD9-2A55-44FF-98E9-0F9BDB04272E</t>
  </si>
  <si>
    <t>8A33D05C-9443-4FEE-94DD-A910A7AF02A4</t>
  </si>
  <si>
    <t>A935B445-05F2-42A0-BCF6-925F50B2DBC1</t>
  </si>
  <si>
    <t>01B603A7-D216-463A-9F49-E09737199532</t>
  </si>
  <si>
    <t>8813AEE4-BBDE-41CD-ABEA-321D1F394A77</t>
  </si>
  <si>
    <t>AE849A27-6D49-427C-AA6B-8F7E633AF4D1</t>
  </si>
  <si>
    <t>6F643E21-4D5C-4BE7-BE29-D539582D89D8</t>
  </si>
  <si>
    <t>66FCF2BB-9CDD-4249-A415-986FCCC99514</t>
  </si>
  <si>
    <t>57F34A35-F03A-4C3C-830F-963918FFCD01</t>
  </si>
  <si>
    <t>05D0C714-4172-4BF0-87D3-2F63CC2DF92A</t>
  </si>
  <si>
    <t>6EDC8AB3-084E-4AAA-9388-F02FEB3DDB9B</t>
  </si>
  <si>
    <t>76D0CDD8-775A-4FEF-87C2-611D1129A80E</t>
  </si>
  <si>
    <t>9C5850E1-E8CD-49FB-8F24-ADF4D6E65CC5</t>
  </si>
  <si>
    <t>30B75626-9B1A-497C-A7F6-C016D3E837CC</t>
  </si>
  <si>
    <t>27FCAACD-BC63-47AD-9322-094C8E44EC4F</t>
  </si>
  <si>
    <t>14408D5B-F852-4FC3-A06F-B27095455C5B</t>
  </si>
  <si>
    <t>029880DF-693C-4E47-AFF2-25A5979BE698</t>
  </si>
  <si>
    <t>5A918FEE-D19D-4CAC-A0CD-561D51C0C73F</t>
  </si>
  <si>
    <t>F2549CC8-076B-4FD5-90AF-1F44D828B612</t>
  </si>
  <si>
    <t>C8ACD32C-4D2A-4038-AEDF-988F268D17AB</t>
  </si>
  <si>
    <t>08220A39-0E4E-4274-973F-ED77E988E616</t>
  </si>
  <si>
    <t>A2D833CF-999B-4890-ACA0-0B9709AF1E0D</t>
  </si>
  <si>
    <t>6546CD57-FDCD-4322-A683-36AA47D8BC0D</t>
  </si>
  <si>
    <t>331A81C2-697B-47ED-8FC1-E93A751FFD41</t>
  </si>
  <si>
    <t>45C9E450-1B4E-467D-93D1-F226BA552CF7</t>
  </si>
  <si>
    <t>F220BBF7-2AA6-4D5F-B4F5-29DFB8D632E8</t>
  </si>
  <si>
    <t>0C5DF45A-2C78-4F04-ABDE-53D2B3AAE1AC</t>
  </si>
  <si>
    <t>D06370CC-B1DF-4059-ADEE-602ADD8882AC</t>
  </si>
  <si>
    <t>7EFF6804-4B44-46A3-A758-64F5711317B4</t>
  </si>
  <si>
    <t>D39D0D90-F377-433C-A28F-30C934048D01</t>
  </si>
  <si>
    <t>BD4148C7-F504-4F64-9005-CCAFFAF1C6F9</t>
  </si>
  <si>
    <t>E8E0DD28-6B3C-4EDD-BB23-4438EA2B44D9</t>
  </si>
  <si>
    <t>061AFBE1-8D3B-4AAD-B407-F269FD83A857</t>
  </si>
  <si>
    <t>8CC01DD1-E160-4781-B499-993DE684E68A</t>
  </si>
  <si>
    <t>2E143DAF-ED7C-4515-A30F-EBA7B674ED9B</t>
  </si>
  <si>
    <t>21111C4F-72F0-4DCF-9C87-33A443B93190</t>
  </si>
  <si>
    <t>CEFE3B0F-432E-4807-BB62-B6B7EF2BBE6F</t>
  </si>
  <si>
    <t>7FE8F626-012A-4D91-9C30-C99C6E84C6E1</t>
  </si>
  <si>
    <t>52FBC3F9-23BE-4DD4-97A0-8691D48E6B77</t>
  </si>
  <si>
    <t>ADB707D9-0100-4539-9889-CF85D71B70A2</t>
  </si>
  <si>
    <t>1796F1AE-0EC2-408E-AF1E-2166507A621E</t>
  </si>
  <si>
    <t>29658DD4-072C-4200-8601-099A43CDB8D3</t>
  </si>
  <si>
    <t>3D7D67CA-7DAB-468E-A1B5-8345A3441DBD</t>
  </si>
  <si>
    <t>CF371447-CD99-49EB-9D0C-0B1477C45B2E</t>
  </si>
  <si>
    <t>4E95DC60-A37A-4D97-96DC-C43C147BE80E</t>
  </si>
  <si>
    <t>1FDC1090-8B65-4116-A105-566F6299A4A0</t>
  </si>
  <si>
    <t>3E749C2B-7A54-4E6A-B1AE-A753EC1DAB4A</t>
  </si>
  <si>
    <t>485A758D-5096-4669-844E-A54995638832</t>
  </si>
  <si>
    <t>6D9C2204-23E2-46C8-8C70-519CA89306FA</t>
  </si>
  <si>
    <t>0FB20BD0-111A-458A-BB93-4ED66962A883</t>
  </si>
  <si>
    <t>B409BCD3-947F-4E48-BD47-C68A6515D97D</t>
  </si>
  <si>
    <t>8FFBA00C-FCED-4BFE-8DEE-094D4987E4B5</t>
  </si>
  <si>
    <t>69EAEB20-8FB7-492A-B8E4-449490E650FD</t>
  </si>
  <si>
    <t>E4A9E503-5608-458D-BD17-7E3F176EF490</t>
  </si>
  <si>
    <t>52694412-2D9C-48B1-B1C9-573A035B0C0D</t>
  </si>
  <si>
    <t>960D72BD-2D65-452A-AFCC-EDBAD15B74E7</t>
  </si>
  <si>
    <t>54C4F547-A268-4BA8-BD20-78A2A6375852</t>
  </si>
  <si>
    <t>2DFAA1A8-BAA7-4026-AADB-97983632E2F8</t>
  </si>
  <si>
    <t>ABF5C4F6-48F3-4014-82E6-A5E38D26566D</t>
  </si>
  <si>
    <t>640D9EBD-5031-42D6-8029-A225B260CB48</t>
  </si>
  <si>
    <t>D63CAFEC-57C4-49C3-8A04-CCD4E8571C6C</t>
  </si>
  <si>
    <t>88C64470-C0F3-442C-BBC3-8C271827B450</t>
  </si>
  <si>
    <t>09211518-3E4E-460F-B7A2-7C26AA212C04</t>
  </si>
  <si>
    <t>F4E6641D-2F11-4FA3-8DA8-BA16572F6F7D</t>
  </si>
  <si>
    <t>3B02D50E-6E90-4C83-8E9C-7B56761811B2</t>
  </si>
  <si>
    <t>D1D62E80-9505-4C3F-8B4A-EDFA4DD116CB</t>
  </si>
  <si>
    <t>995C0FA1-E8FA-40A1-9995-83031B69F926</t>
  </si>
  <si>
    <t>945D1FC5-4311-4D70-ADF2-ECCE975619F5</t>
  </si>
  <si>
    <t>E34FA1E9-22FE-43B2-A830-DB317DB6945F</t>
  </si>
  <si>
    <t>9D45EC28-D4A5-4774-8A45-88311A75C3AC</t>
  </si>
  <si>
    <t>8B3D4F62-810F-4845-8485-9FA4F70AC57A</t>
  </si>
  <si>
    <t>59678F9F-741A-4659-ACEB-82E30D448F8E</t>
  </si>
  <si>
    <t>ED85A366-17CB-4DFC-94CC-6AF5CA86A27A</t>
  </si>
  <si>
    <t>CD43D15F-FEBC-4B91-BAF1-E1DDD240DC92</t>
  </si>
  <si>
    <t>E200D83C-6E28-4139-BDFB-C03A0C69F27C</t>
  </si>
  <si>
    <t>077DD9B3-4836-4036-BD45-A1818B987023</t>
  </si>
  <si>
    <t>E676A166-3930-4BD8-A320-17D5FD3201D8</t>
  </si>
  <si>
    <t>A5EC5C92-629D-41DD-8AE8-B3343F933C1C</t>
  </si>
  <si>
    <t>C07CF5C9-E1EA-4588-91E7-5A137812D3AE</t>
  </si>
  <si>
    <t>F0C8911E-6558-4F3A-AC8E-D7906664A35A</t>
  </si>
  <si>
    <t>2EA6B5E5-6F9C-4D56-817E-360C3023C3EE</t>
  </si>
  <si>
    <t>76ED9ECB-BBB3-40F0-8831-356FFAC16258</t>
  </si>
  <si>
    <t>CD880992-FB17-457B-B68A-0E200B082268</t>
  </si>
  <si>
    <t>EBBD4F3E-E872-4F98-A6CA-A6B8673DA952</t>
  </si>
  <si>
    <t>1A9F6BBB-F9B0-4B01-8D65-9BE65CB81781</t>
  </si>
  <si>
    <t>A45A0E48-F600-4484-BA11-43A1753EEDF8</t>
  </si>
  <si>
    <t>6E2ED978-A688-43D0-BE74-72F4DF38B4CF</t>
  </si>
  <si>
    <t>750EFB32-9CFA-4A29-A261-8E46C6308DD9</t>
  </si>
  <si>
    <t>5EB220B5-A10B-4076-8E84-E7D5CA251E41</t>
  </si>
  <si>
    <t>690FB494-B9B4-4FFA-83DE-E53CAEDBB72C</t>
  </si>
  <si>
    <t>70303745-BDFD-414A-9413-4669B10249FE</t>
  </si>
  <si>
    <t>940EF094-260D-40D3-89C7-5E32A5B8D50A</t>
  </si>
  <si>
    <t>49DC4099-F16D-4D3E-B431-29496A42F6AE</t>
  </si>
  <si>
    <t>167F5FF1-634C-4CE2-A941-7B892367600B</t>
  </si>
  <si>
    <t>E4851333-6B07-4EE9-B227-BE9565F585BD</t>
  </si>
  <si>
    <t>6B273E5E-CAFB-4290-AA74-4A3B48E758AD</t>
  </si>
  <si>
    <t>1C33AFBD-D332-465F-826C-C5C13FB0C21C</t>
  </si>
  <si>
    <t>276CF6F0-AA44-46CD-877A-AD736513BA90</t>
  </si>
  <si>
    <t>6C0DD3C0-C501-42D1-BA32-DFD172C0F69C</t>
  </si>
  <si>
    <t>D214D7E2-1AC2-4F69-A5E0-15A3A27671A5</t>
  </si>
  <si>
    <t>1CAB0F85-020C-4C4B-8241-827B98971594</t>
  </si>
  <si>
    <t>337BF3C3-D81E-4185-9D75-18716C274AF7</t>
  </si>
  <si>
    <t>4FE09A1E-E5DC-49CE-A425-9D440862324E</t>
  </si>
  <si>
    <t>52A0A1A3-019F-4EC2-8566-A21EF764B5B6</t>
  </si>
  <si>
    <t>D7A416CD-F27E-4350-A104-48D1FCD94851</t>
  </si>
  <si>
    <t>DE6312FE-3555-4700-B3FD-8D2627C3CF30</t>
  </si>
  <si>
    <t>8BB8A271-0590-4CB6-A485-807A712C606A</t>
  </si>
  <si>
    <t>AA976F10-6B74-4CF6-B406-6218D092DA57</t>
  </si>
  <si>
    <t>AFA5FBF0-B2C0-40CC-90CC-F6AFD8FE2CF8</t>
  </si>
  <si>
    <t>68D15805-0C19-4679-B29E-04FA717F6446</t>
  </si>
  <si>
    <t>82E129D8-34D0-4CE3-BE64-26D86BA3A9A8</t>
  </si>
  <si>
    <t>F0C5B3AF-AB05-4AE9-AF98-F936DA1506BF</t>
  </si>
  <si>
    <t>25EBE005-4B1C-4B59-9E29-DDA11A29053A</t>
  </si>
  <si>
    <t>2E00B71F-7D24-47EA-85FA-E0A858B6BECF</t>
  </si>
  <si>
    <t>67D1B1B4-7481-4F02-AC68-9A5D41EC1CE6</t>
  </si>
  <si>
    <t>F4B253CC-D8EB-474E-B6CF-39A79CD739B4</t>
  </si>
  <si>
    <t>01FBF89B-9B99-45C5-899A-F1A5134F7092</t>
  </si>
  <si>
    <t>FD5C0646-030C-47FE-9310-3C92095846F9</t>
  </si>
  <si>
    <t>BC570D70-BFB2-4109-A454-6A252E4A8214</t>
  </si>
  <si>
    <t>9A732270-CFF3-4D25-BD7B-90762C140672</t>
  </si>
  <si>
    <t>1A2709E3-EFC0-4571-B434-5F16080942AD</t>
  </si>
  <si>
    <t>7F8177BE-8FF8-44D5-8E1E-738E7EF275A4</t>
  </si>
  <si>
    <t>78805520-D9CE-4302-8070-4DDD9EA9F14D</t>
  </si>
  <si>
    <t>1FA8BEA6-FE7B-4AB1-B372-62BEE3C6CE24</t>
  </si>
  <si>
    <t>ECBA2C6F-CFFA-4C99-A88A-D2953E2478EC</t>
  </si>
  <si>
    <t>938F8533-F212-4FD1-8C91-73F8B797C506</t>
  </si>
  <si>
    <t>C7105565-7E14-4897-88D8-AC82556ACF6D</t>
  </si>
  <si>
    <t>12F44DA4-2A47-4910-A807-51CF46E131E6</t>
  </si>
  <si>
    <t>7911448E-6E6E-458E-B844-6A92EC75AF02</t>
  </si>
  <si>
    <t>FA6BF937-1121-4FAD-AFDF-59BB2B275CDF</t>
  </si>
  <si>
    <t>A9D8E947-A86D-495D-9B8D-315A18CB692B</t>
  </si>
  <si>
    <t>4A2FD625-FFEE-4C03-B727-936C7D119190</t>
  </si>
  <si>
    <t>26967D6D-1673-4E79-B367-DFE037E28143</t>
  </si>
  <si>
    <t>578694F6-0BD7-4C1C-848C-3A92BACCF0B4</t>
  </si>
  <si>
    <t>149D26D8-2C0A-4197-ABF3-C4C1CBE1EA85</t>
  </si>
  <si>
    <t>49A5BC5F-EB55-48EF-8409-9186E1BE7BA5</t>
  </si>
  <si>
    <t>A106B49A-37E1-4A14-BB19-269441C591B7</t>
  </si>
  <si>
    <t>B85843FA-99DC-4A5D-82A2-1EF43067C913</t>
  </si>
  <si>
    <t>347CFA4E-F6E4-4E63-827E-CC256A566142</t>
  </si>
  <si>
    <t>3FFD7709-3961-4290-B364-3826280E5418</t>
  </si>
  <si>
    <t>A1BD49A2-5CB5-4CC5-89F0-BF8B04BF6D13</t>
  </si>
  <si>
    <t>08070754-2145-4455-93A8-276F8FC8A1A0</t>
  </si>
  <si>
    <t>57E2E478-28F1-45A0-83E2-304DFB564997</t>
  </si>
  <si>
    <t>B924B349-6753-4F4C-8C3F-D7047D41EBA6</t>
  </si>
  <si>
    <t>C10A975D-F665-42A8-8AC5-83B6AD7C1776</t>
  </si>
  <si>
    <t>019F7368-25AE-4481-B0F8-AA84F705635F</t>
  </si>
  <si>
    <t>Курск г., проезд Магистральный, д.7</t>
  </si>
  <si>
    <t>Курск г., ул. Черняховского, д.19</t>
  </si>
  <si>
    <t>Курск г., ул. Народная, д.2А</t>
  </si>
  <si>
    <t>Любимовка с., ул. Школьная, д.10</t>
  </si>
  <si>
    <t>Горшечное пос., ул. Кирова, д.14</t>
  </si>
  <si>
    <t>Горшечное пос., ул. Привокзальная, д.60</t>
  </si>
  <si>
    <t>Тёткино пос., тер. Сахзавода, д.5</t>
  </si>
  <si>
    <t>Первоавгустовский пос., ул. Ватутина, д.8</t>
  </si>
  <si>
    <t>Железногорск г. (3)</t>
  </si>
  <si>
    <t>Железногорск г., ул. Л.Голенькова, д.9</t>
  </si>
  <si>
    <t>Железногорск г., ул. Ленина, д.20</t>
  </si>
  <si>
    <t>Железногорск г., ул. Рокоссовского, д.58</t>
  </si>
  <si>
    <t>Новокасторное пос., ул. Железнодорожная, д.10</t>
  </si>
  <si>
    <t>Новокасторное пос., ул. Железнодорожная, д.15</t>
  </si>
  <si>
    <t>Олымский пос., ул. Садовая, 35</t>
  </si>
  <si>
    <t>Олымский пос., ул. Буденного, 1</t>
  </si>
  <si>
    <t>Олымский пос., ул. Буденного, 2</t>
  </si>
  <si>
    <t>Олымский пос., пер. Дачный, 1</t>
  </si>
  <si>
    <t>Олымский пос., пер. Дачный, 10</t>
  </si>
  <si>
    <t>Олымский пос., ул. Строителей, 14</t>
  </si>
  <si>
    <t>Коренево пос., ул. 70 лет Октября, д.1</t>
  </si>
  <si>
    <t>Курск г., ул. Дзержинского,  д.80</t>
  </si>
  <si>
    <t>Курск г., ул. Школьная, д.48А</t>
  </si>
  <si>
    <t>Курск г., проезд Светлый, д.11А</t>
  </si>
  <si>
    <t>Курск г., пр-кт Хрущева, д.28</t>
  </si>
  <si>
    <t>Курск г., ул. Аэродромная, д.14, 1</t>
  </si>
  <si>
    <t>Курск г., ул. К.Маркса, д.23 А</t>
  </si>
  <si>
    <t>Курск г., ул. Л.Толстого, д.10 Б</t>
  </si>
  <si>
    <t>Курск г., ул.К.Маркса, д.66, 4</t>
  </si>
  <si>
    <t>Курск г., ул. Чистая, д.37</t>
  </si>
  <si>
    <t>Курск г., ул. Заводская, д.6</t>
  </si>
  <si>
    <t>Курск г., пр. Узенький, д.3</t>
  </si>
  <si>
    <t>Курск г., пр. Узенький, д.9</t>
  </si>
  <si>
    <t>Курск г., ул. Щепкина, д.7</t>
  </si>
  <si>
    <t>Курск г., ул. Аэродромная, д.14, 2</t>
  </si>
  <si>
    <t>Курск г., пер. Учрежденческий, д.7</t>
  </si>
  <si>
    <t>Курск г., ул. Димитрова, д.119</t>
  </si>
  <si>
    <t>Курск г., ул. Энергетиков 2, д.13А</t>
  </si>
  <si>
    <t>Курск г., ул. Черняховского, д. 10</t>
  </si>
  <si>
    <t>Курск г., ул. Черняховского, д. 12</t>
  </si>
  <si>
    <t>Курск г., ул. Менделеева, д.67</t>
  </si>
  <si>
    <t>Курск г., пр-д Узенький, д.3А</t>
  </si>
  <si>
    <t>Курск г., ул. Парк Солянка, д.8</t>
  </si>
  <si>
    <t>Курск г., ул. Радищева, д.58</t>
  </si>
  <si>
    <t>Курск г., ул. 2-я Рабочая, д.7 В</t>
  </si>
  <si>
    <t>Курск г., ул. Ахтырская,  д.4 Г</t>
  </si>
  <si>
    <t>Курск г., ул. Белинского,  д.25</t>
  </si>
  <si>
    <t>Курск г., ул. Вокзальная,  д.1</t>
  </si>
  <si>
    <t>Курск г., ул. Дзержинского, д. 93</t>
  </si>
  <si>
    <t>Курск г., ул. Дзержинского,  д.43</t>
  </si>
  <si>
    <t>Курск г., ул. Дзержинского,  д.41А</t>
  </si>
  <si>
    <t>Курск г., ул. Пигорева,  д.3</t>
  </si>
  <si>
    <t>Курск г., ул. Радищева, 8</t>
  </si>
  <si>
    <t>Курск г., ул. Краснополянская, д.39</t>
  </si>
  <si>
    <t>Курск г., пр-кт Энтузиастов, д.8</t>
  </si>
  <si>
    <t>Курск г., ул. Пигорева, д.6 А</t>
  </si>
  <si>
    <t>Курск г., 2-й Промышленный пер., д. 3</t>
  </si>
  <si>
    <t>Курск г., пос. Аккумулятор, 30</t>
  </si>
  <si>
    <t>Курск г., ул. 1-я Фатежская, 73, 1</t>
  </si>
  <si>
    <t>Курск г., ул. Белгородская,  д.12, 7</t>
  </si>
  <si>
    <t>Курск г., ул. К.Маркса,  д.66, 6</t>
  </si>
  <si>
    <t>Курск г., ул. К.Маркса, д. 72, 1</t>
  </si>
  <si>
    <t>Курск г., ул. К.Маркса,  д.72, 2</t>
  </si>
  <si>
    <t>Курск г., пр. Мирный, д.7</t>
  </si>
  <si>
    <t>Курск г., ул. Союзная, д.63, А</t>
  </si>
  <si>
    <t>Курск г., ул. Краснополянская, д.10</t>
  </si>
  <si>
    <t>Курск г., пос. Аккумулятор, д.36</t>
  </si>
  <si>
    <t>Курск г., ул. 1-я Рабочая, д.2</t>
  </si>
  <si>
    <t>Курск г., ул. Социалистическая, д.3</t>
  </si>
  <si>
    <t>Курск г., пос. Аккумулятор, д.35</t>
  </si>
  <si>
    <t>Курск г., ул. Сумская, д.37, 5</t>
  </si>
  <si>
    <t>Курск г., ул. Павлова, д.1</t>
  </si>
  <si>
    <t>Курск г., ул. 2-я Рабочая, д.7А</t>
  </si>
  <si>
    <t>Курск г., пер. Учрежденческий, д.5</t>
  </si>
  <si>
    <t>Курск г., ул. 1-Фатежская, д.73, 3</t>
  </si>
  <si>
    <t>Курск г., пр. Московский, д.5 Б</t>
  </si>
  <si>
    <t>Курск г., ул. Пигорева, д.24</t>
  </si>
  <si>
    <t>Курск г., ул. Литовская, д.107 Б</t>
  </si>
  <si>
    <t>Курск г., ул. Тракторная, д.31</t>
  </si>
  <si>
    <t>Курск г., ул. Сторожевая, д.16, 1</t>
  </si>
  <si>
    <t>Курск г., ул. Сторожевая, д. 3</t>
  </si>
  <si>
    <t>Курск г., ул. Урицкого, д.20 Б</t>
  </si>
  <si>
    <t>Курск г., ул. Дружбы, д.16, 35</t>
  </si>
  <si>
    <t>Курск г., ул. Менделеева,  д.15</t>
  </si>
  <si>
    <t>Курск г., ул. Моковская,  д.10</t>
  </si>
  <si>
    <t>Курск г., ул. Моковская,  д.28 А</t>
  </si>
  <si>
    <t>Курск г., ул. Моковская, д. 6</t>
  </si>
  <si>
    <t>Курск г., ул. Народная,  д.10, 27</t>
  </si>
  <si>
    <t>Курск г., ул. Ольшанского,  д.15 Б</t>
  </si>
  <si>
    <t>Курск г., ул. Парковая,  д.6</t>
  </si>
  <si>
    <t>Курск г., ул. Харьковская,  д.8, 2</t>
  </si>
  <si>
    <t>Курск г., ул. Пигорева,  д.8</t>
  </si>
  <si>
    <t>Курск г., ул. Сумская,  д.3</t>
  </si>
  <si>
    <t>Курск г., пр-д Магистральный д. 18, 27</t>
  </si>
  <si>
    <t>Курск г., пр-д Магистральный д. 18, 28</t>
  </si>
  <si>
    <t>Курск г., ул. Аэродромная,  д.14,3</t>
  </si>
  <si>
    <t>Курск г., ул. Аэродромная, д. 16</t>
  </si>
  <si>
    <t>Курск г., ул. Аэродромная, д. 20 А</t>
  </si>
  <si>
    <t>Курск г., ул. Гоголя,  д.18</t>
  </si>
  <si>
    <t>Курск г., ул. Дейнеки, д. 12</t>
  </si>
  <si>
    <t>Курск г., ул. Литовская, д. 107 А</t>
  </si>
  <si>
    <t>Курск г., ул. Менделеева, д. 21</t>
  </si>
  <si>
    <t>Курск г., ул. Менделеева, д. 23</t>
  </si>
  <si>
    <t>Курск г., ул. Менделеева, д. 27</t>
  </si>
  <si>
    <t>Курск г., ул. Менделеева, д. 29</t>
  </si>
  <si>
    <t>Курск г., ул. Менделеева, д. 29А</t>
  </si>
  <si>
    <t>Курск г., ул. Менделеева,  д.37</t>
  </si>
  <si>
    <t>Курск г., ул. Менделеева, д.43</t>
  </si>
  <si>
    <t>Курск г., ул. Моковская,  д.12</t>
  </si>
  <si>
    <t>Курск г., ул. Моковская, д. 26А</t>
  </si>
  <si>
    <t>Курск г., ул. Моковская,  д.26В</t>
  </si>
  <si>
    <t>Курск г., ул. Моковская, д. 36</t>
  </si>
  <si>
    <t>Курск г., ул. Ольшанского,  д.19</t>
  </si>
  <si>
    <t>Курск г., ул. Ольшанского,  д.19 А</t>
  </si>
  <si>
    <t>Курск г., ул. Ольшанского,  д.21 Б</t>
  </si>
  <si>
    <t>Курск г., ул. Ольшанского, д. 23</t>
  </si>
  <si>
    <t>Курск г., ул. Сумская,  д.37, 4</t>
  </si>
  <si>
    <t>Курск г., ул. Хуторская, д. 14, 9</t>
  </si>
  <si>
    <t>Курск г., ул. Хуторская, д. 30</t>
  </si>
  <si>
    <t>Курск г., ул. Хуторская, д. 51</t>
  </si>
  <si>
    <t>Курск г., ул. Черняховского, д. 14</t>
  </si>
  <si>
    <t>Курск г., ул. Школьная,  д.5, 10</t>
  </si>
  <si>
    <t>Курск г., ул. Школьная,  д.5, 14</t>
  </si>
  <si>
    <t>Курск г., ул. Школьная,  д.5, 5</t>
  </si>
  <si>
    <t>Курск г., ул. Школьная, д. 5, 6</t>
  </si>
  <si>
    <t>Курск г., ул. Школьная, д. 5, 7</t>
  </si>
  <si>
    <t>Курск г., ул. Школьная, д. 5, 9</t>
  </si>
  <si>
    <t>Курск г., ул. Энгельса, д. 138 А</t>
  </si>
  <si>
    <t>Курск г., ул. Юности,  д.16</t>
  </si>
  <si>
    <t>Курск г., ул. Юности,  д.22</t>
  </si>
  <si>
    <t>Курск г., ул. Дейнеки, д. 9</t>
  </si>
  <si>
    <t>Курск г., ул. Обоянская, д. 28</t>
  </si>
  <si>
    <t>Курск г., ул. Обоянская,  д.36</t>
  </si>
  <si>
    <t>Курск г., ул. Ольшанского, д. 21</t>
  </si>
  <si>
    <t>Курск г., ул. Ольшанского, д. 29</t>
  </si>
  <si>
    <t>Курск г., ул. Ольшанского, д. 31</t>
  </si>
  <si>
    <t>Курск г., ул. Ольшанского, д. 35</t>
  </si>
  <si>
    <t>Курск г., ул. Ольшанского, д. 37</t>
  </si>
  <si>
    <t>Курск г., ул. Ольшанского,  д.39</t>
  </si>
  <si>
    <t>Курск г., ул. Ольшанского, д. 43</t>
  </si>
  <si>
    <t>Курск г., ул. Пигорева, д. 10А</t>
  </si>
  <si>
    <t>Курск г., ул. Пигорева, д. 14</t>
  </si>
  <si>
    <t>Курск г., ул. Пигорева,  д.16</t>
  </si>
  <si>
    <t>Курск г., ул. Пигорева,  д.6</t>
  </si>
  <si>
    <t>Курск г., ул. Хуторская,  д.51А</t>
  </si>
  <si>
    <t>Курск г., ул. Ольшанского, д. 45 А</t>
  </si>
  <si>
    <t>Курск г., ул. Обоянская, д.7</t>
  </si>
  <si>
    <t>Курск г., ул. Халтурина, д.18</t>
  </si>
  <si>
    <t>Курск г., ул. Большевиков, д.25 А1</t>
  </si>
  <si>
    <t>Курск г., пос. Аккумулятор,  д.37</t>
  </si>
  <si>
    <t>Курск г., ул. Обоянская, д.44</t>
  </si>
  <si>
    <t>Курск г., ул. Мичурина, д.133</t>
  </si>
  <si>
    <t>Курск г., ул. Станционная, д.50</t>
  </si>
  <si>
    <t>Курск г., ул. Станционная, д.34</t>
  </si>
  <si>
    <t>Курск г., ул. Можаевская, д.16 А</t>
  </si>
  <si>
    <t>Курск г., Учрежденческий пер., д.3</t>
  </si>
  <si>
    <t>Курск г., ул. Чернышевского, д.59</t>
  </si>
  <si>
    <t>Курск г., ул. К.Зеленко, д.7 А</t>
  </si>
  <si>
    <t>Курск г., ул. Радищева, д.84</t>
  </si>
  <si>
    <t>Курск г., пр-д 18 Магистральный, д. 30</t>
  </si>
  <si>
    <t>Курск г., пер. Южный, д. 4</t>
  </si>
  <si>
    <t>Курск г., ул. Краснополянская, д. 23 А</t>
  </si>
  <si>
    <t>Курск г., пер. Учрежденческий, д. 4</t>
  </si>
  <si>
    <t>Курск г., пер. Учрежденческий, д.8</t>
  </si>
  <si>
    <t>Курск г., ул. 50 лет Октября, д.143 Б</t>
  </si>
  <si>
    <t>Курск г., ул. Н.Луговая, д.27, 2</t>
  </si>
  <si>
    <t>Курск г., ул. Золотая, д.29</t>
  </si>
  <si>
    <t>Курск г., ул. К.Маркса, д.77, 2</t>
  </si>
  <si>
    <t>Курск г., ул. Димитрова., д.2/37 А</t>
  </si>
  <si>
    <t>Курск г., пл. Красная, д.2/4</t>
  </si>
  <si>
    <t>Курск г., ул. Рабочая 2-я, д.10 корп.А2</t>
  </si>
  <si>
    <t>Курск г., пр-кт Дружбы, д.9</t>
  </si>
  <si>
    <t>Курск г., ул. Республиканская, д.50 В</t>
  </si>
  <si>
    <t>Курск г., пр-кт Дружбы, д.1</t>
  </si>
  <si>
    <t>Курск г., пр-кт Кулакова, д.7</t>
  </si>
  <si>
    <t>Курск г., ул. Союзная, д.18 А</t>
  </si>
  <si>
    <t>Курск г., ул. Союзная, д.57 Б</t>
  </si>
  <si>
    <t>Курск г., ул. Л.Толстого, д.10А</t>
  </si>
  <si>
    <t>Полянское с., д.173</t>
  </si>
  <si>
    <t>Петрин пос., д.1</t>
  </si>
  <si>
    <t>Камыши пос., д.27</t>
  </si>
  <si>
    <t>Камыши пос., д.25</t>
  </si>
  <si>
    <t>Искра пос., д.28</t>
  </si>
  <si>
    <t>Конышевка пос., ул. Советская, д.2</t>
  </si>
  <si>
    <t>Дроняево с., д.1</t>
  </si>
  <si>
    <t>Курчатов г. (10)</t>
  </si>
  <si>
    <t>Курчатов г., ул. Энергетиков, д.1</t>
  </si>
  <si>
    <t>Курчатов г., ул. Строителей, д.1</t>
  </si>
  <si>
    <t>Курчатов г., ул. Энергетиков, д.13</t>
  </si>
  <si>
    <t>Курчатов г., ул. Энергетиков, д.15</t>
  </si>
  <si>
    <t>Курчатов г., ул. Садовая, д.3</t>
  </si>
  <si>
    <t>Курчатов г., ул. Садовая, д.5</t>
  </si>
  <si>
    <t>Курчатов г., ул. Садовая, д.7</t>
  </si>
  <si>
    <t>Курчатов г., ул. Садовая, д.9А</t>
  </si>
  <si>
    <t>Курчатов г., ул. Садовая, д.2 п.5</t>
  </si>
  <si>
    <t>Курчатов г., пр. Коммунистический, д.26</t>
  </si>
  <si>
    <t>Льгов г., пер. Франко,  д.3</t>
  </si>
  <si>
    <t>Льгов г., ул. Чкалова, д. 7</t>
  </si>
  <si>
    <t>Льгов г., ул. Литейная, д.19</t>
  </si>
  <si>
    <t>Льгов г., ул. Чкалова,  д.9</t>
  </si>
  <si>
    <t>Льгов г., ул. Шатохина, д.113</t>
  </si>
  <si>
    <t>Селекционный пос., ул. Центральная, д.1</t>
  </si>
  <si>
    <t>Селекционный пос., ул. Гагарина, д.5</t>
  </si>
  <si>
    <t>Сейм с., ул. Мира, д.3</t>
  </si>
  <si>
    <t>Верхний Реутец с., ул. Домики, д.26</t>
  </si>
  <si>
    <t>Рыльск г., ул. Р.Люксембург, д. 95</t>
  </si>
  <si>
    <t>Рыльск г., ул. Промышленная, д. 2</t>
  </si>
  <si>
    <t>Рыльск г., ул. Ворошилова, д.72</t>
  </si>
  <si>
    <t>Рыльск г., ул. Ворошилова, д.78</t>
  </si>
  <si>
    <t>Рыльск г., ул. К.Маркса, д. 23</t>
  </si>
  <si>
    <t>Обоянь г., ул. Шмидта, д.15</t>
  </si>
  <si>
    <t>Пристень пос., ул Комсомольская, д.44</t>
  </si>
  <si>
    <t>Пристень пос., ул Октябрьская, д.32</t>
  </si>
  <si>
    <t>Кировский пос., ул. Ломоносова, д.5</t>
  </si>
  <si>
    <t>Кшенский пос., ул. Заводская, д.12</t>
  </si>
  <si>
    <t>Кшенский пос., ул. Заводская, д.10</t>
  </si>
  <si>
    <t>Солнцево пос., ул. Кирова, д.2</t>
  </si>
  <si>
    <t>Тим пос., ул. Ленина, д.52</t>
  </si>
  <si>
    <t>Фатеж г., ул. К.Маркса, д. 60</t>
  </si>
  <si>
    <t>Черемисиново пос., ул. Кооперативная, д. 12</t>
  </si>
  <si>
    <t>Черемисиново пос., ул. Кооперативная, д. 4</t>
  </si>
  <si>
    <t>Пригородняя сл., ул. Комарова, д.3</t>
  </si>
  <si>
    <t>Щигры г., ул. Красная, д.24</t>
  </si>
  <si>
    <t>Щигры г., ул. Лазарева, д.9</t>
  </si>
  <si>
    <t>Щигры г., ул. Макарова, д.1 В</t>
  </si>
  <si>
    <t>Щигры г., ул. Зеленая, д.28</t>
  </si>
  <si>
    <t>Щигры г., ул. Семашко, д.9</t>
  </si>
  <si>
    <t>Щигры г., ул. Чапаева, д.10</t>
  </si>
  <si>
    <t>Щигры г., ул. Красная, д.61</t>
  </si>
  <si>
    <t>Щигры г., ул. Красная, д.6</t>
  </si>
  <si>
    <t>Щигры г., ул. Луначарского, д.20</t>
  </si>
  <si>
    <t>Щигры г., ул. Курская, д.1</t>
  </si>
  <si>
    <t>Щигры г., ул. Красная, д.42</t>
  </si>
  <si>
    <t>Горшечное пос., ул. Центральная, д.3</t>
  </si>
  <si>
    <t>Горшечное пос., ул. Октябрьская, д.3</t>
  </si>
  <si>
    <t>Горшечное пос., пер. Школьный, д.10</t>
  </si>
  <si>
    <t>Дмитриев г., ул. Володарского, д.31</t>
  </si>
  <si>
    <t>Дмитриев г., ул. Мичурина, д.21</t>
  </si>
  <si>
    <t>Дмитриев г., ул. Рабочая, д.8</t>
  </si>
  <si>
    <t>Железногорск г. (35)</t>
  </si>
  <si>
    <t>Железногорск г., ул. Курская, д.13, корп. 2</t>
  </si>
  <si>
    <t>Железногорск г., ул. Курская, д.13, корп. 3</t>
  </si>
  <si>
    <t>Железногорск г., ул. Ленина, 28, корп. 2</t>
  </si>
  <si>
    <t>Железногорск г., ул. Ленина, 32, корп. 1</t>
  </si>
  <si>
    <t>Железногорск г., ул. Ленина, 32, корп. 2</t>
  </si>
  <si>
    <t>Железногорск г., ул. Гагарина, 29</t>
  </si>
  <si>
    <t>Железногорск г., ул. Гайдара, 4 корп. 2</t>
  </si>
  <si>
    <t>Железногорск г., ул. Мира, 4</t>
  </si>
  <si>
    <t>Железногорск г., ул. Гагарина, д.21</t>
  </si>
  <si>
    <t>Железногорск г., ул. Ленина, д.58 корп.2</t>
  </si>
  <si>
    <t>Железногорск г., ул. Ленина, д.41</t>
  </si>
  <si>
    <t>Железногорск г., ул. Димитрова, д.3</t>
  </si>
  <si>
    <t>Железногорск г., ул. Мира, д.7</t>
  </si>
  <si>
    <t>Железногорск г., ул. Обогатителей, д.16</t>
  </si>
  <si>
    <t>Железногорск г., ул. Мира, д.16 корп.1</t>
  </si>
  <si>
    <t>Железногорск г., ул. Мира, д.16 корп.2</t>
  </si>
  <si>
    <t>Железногорск г., ул. Димитрова, д.25</t>
  </si>
  <si>
    <t>Железногорск г., ул. Димитрова, д.1</t>
  </si>
  <si>
    <t>Железногорск г., ул. Ленина, д.53</t>
  </si>
  <si>
    <t>Железногорск г., ул. Горняков, д.2</t>
  </si>
  <si>
    <t>Железногорск г., ул. Ленина, д.33</t>
  </si>
  <si>
    <t>Железногорск г., ул. Курская, д. 5</t>
  </si>
  <si>
    <t>Железногорск г., ул. Курская, д.1, корп. 1</t>
  </si>
  <si>
    <t>Железногорск г., ул. Курская, д.1, корп. 2</t>
  </si>
  <si>
    <t>Железногорск г., ул. Курская, д. 11</t>
  </si>
  <si>
    <t>Железногорск г., ул. Курская, д. 13, корп.1</t>
  </si>
  <si>
    <t>Железногорск г., ул. Курская,  д.3</t>
  </si>
  <si>
    <t>Железногорск г., ул. Курская, д. 9</t>
  </si>
  <si>
    <t>Железногорск г., ул. Ленина, д. 28, корп.3</t>
  </si>
  <si>
    <t>Железногорск г., ул. Ленина, д. 30</t>
  </si>
  <si>
    <t>Железногорск г., ул. Ленина, д. 32, корп. 3</t>
  </si>
  <si>
    <t>Железногорск г., ул. Рокоссовского,  д.56, корп. 2</t>
  </si>
  <si>
    <t>Железногорск г., ул. Рокоссовского,  д.60</t>
  </si>
  <si>
    <t>Железногорск г., ул. Ленина, д.12</t>
  </si>
  <si>
    <t>Железногорск г., ул. Комарова,  д.28, корп. 2</t>
  </si>
  <si>
    <t xml:space="preserve">Студенок пос., ул. Советская, д. 1 </t>
  </si>
  <si>
    <t xml:space="preserve">Магнитный пос., пер. Школьный,  д.4 </t>
  </si>
  <si>
    <t>Михайловка сл., ул. Строительная, д. 4</t>
  </si>
  <si>
    <t>Магнитный пос., ул. Школьная, д. 2</t>
  </si>
  <si>
    <t>Магнитный пос., пер.Школьный, д.6</t>
  </si>
  <si>
    <t>Магнитный пос., пер.Школьный, д.8</t>
  </si>
  <si>
    <t xml:space="preserve">Магнитный пос., ул. Школьная, д. 4 </t>
  </si>
  <si>
    <t>Магнитный пос., ул. Школьная, д. 6</t>
  </si>
  <si>
    <t>Новокасторное пос., ул. Железнодорожная, д. 19</t>
  </si>
  <si>
    <t>Олымский пос., ул. 20 лет Победы,  д.10</t>
  </si>
  <si>
    <t>Новокасторное пос., ул. Железнодорожная, д. 17</t>
  </si>
  <si>
    <t>Новокасторное пос., ул. Железнодорожная, д. 18</t>
  </si>
  <si>
    <t>Новокасторное пос., ул. Железнодорожная, д. 21</t>
  </si>
  <si>
    <t>Новокасторное пос., ул. Железнодорожная, д. 52</t>
  </si>
  <si>
    <t>Новокасторное пос., ул. Железнодорожная, д. 54</t>
  </si>
  <si>
    <t>Новокасторное пос., ул. Железнодорожная, д. 56</t>
  </si>
  <si>
    <t>Олымский пос., ул. 20 лет Победы, д. 11</t>
  </si>
  <si>
    <t>Новокасторное пос., ул. Железнодорожная, д. 16</t>
  </si>
  <si>
    <t>Новокасторное пос., ул. Железнодорожная, д. 16, А</t>
  </si>
  <si>
    <t>Новокасторное пос., ул. Железнодорожная,  д.20</t>
  </si>
  <si>
    <t>Новокасторное пос., ул. Железнодорожная,  д.20, А</t>
  </si>
  <si>
    <t>Новокасторное пос., ул. Железнодорожная,  д.32</t>
  </si>
  <si>
    <t>Новокасторное пос., ул. Железнодорожная, д. 36</t>
  </si>
  <si>
    <t>Новокасторное пос., ул. Железнодорожная,  д.58</t>
  </si>
  <si>
    <t>Олымский пос., ул. Садовая , д.62</t>
  </si>
  <si>
    <t>Олымский пос., ул. Садовая , д.64</t>
  </si>
  <si>
    <t>Олымский пос., ул. Садовая , д.66</t>
  </si>
  <si>
    <t>Олымский пос., ул. 20 лет Победы,  д.12</t>
  </si>
  <si>
    <t>Конышевка пос., ул. Веселая,  д.10</t>
  </si>
  <si>
    <t>Коренево, ул. Школьная, д.25А</t>
  </si>
  <si>
    <t>Курск г., ул. Аэродромная, д.14 корп.3</t>
  </si>
  <si>
    <t>Курск г., ул. Западный Парк, д.14</t>
  </si>
  <si>
    <t>Курск г., ул. Западный Парк, д.15</t>
  </si>
  <si>
    <t>Курск г., ул. К.Маркса, д. 71, 16</t>
  </si>
  <si>
    <t>Курск г., ул. Радищева, д.57</t>
  </si>
  <si>
    <t>Курск г., ул. Песковская 3-я, д.25</t>
  </si>
  <si>
    <t>Курск г., ул. Л.Толстого, д. 5 Б</t>
  </si>
  <si>
    <t>Курск г., ул. Л. Толстого, д.5 А</t>
  </si>
  <si>
    <t>Курск г., ул. 1-я Фатежская,  д.73, 2</t>
  </si>
  <si>
    <t>Курск г., ул. Дзержинского, 86</t>
  </si>
  <si>
    <t>Курск г., ул. Интернациональная,  д.79</t>
  </si>
  <si>
    <t>Курск г., ул. Черняховского, д. 1</t>
  </si>
  <si>
    <t>Курск г., Мирный пр., д. 3</t>
  </si>
  <si>
    <t>Курск г., ул. Блинова, д. 27</t>
  </si>
  <si>
    <t>Курск г., ул. Дзержинского, д. 67</t>
  </si>
  <si>
    <t>Курск г., ул. Дзержинского, д. 87</t>
  </si>
  <si>
    <t>Курск г., ул. Овечкина, д. 1</t>
  </si>
  <si>
    <t>Курск г., ул. Радищева, д. 69, 2</t>
  </si>
  <si>
    <t>Курск г., ул. Радищева, д. 69, 3</t>
  </si>
  <si>
    <t>Курск г., ул. Радищева, д. 83</t>
  </si>
  <si>
    <t>Курск г., ул. Советская, д. 26</t>
  </si>
  <si>
    <t>Курск г., ул. Сторожевая, д. 16, 2</t>
  </si>
  <si>
    <t>Курск г., ул. Радищева, д. 69, 4</t>
  </si>
  <si>
    <t>Курск г., ул. Станционная, д. 30</t>
  </si>
  <si>
    <t>Курск г., ул. 2-я Рабочая, д. 8 А</t>
  </si>
  <si>
    <t>Курск г., ул. 2-я Рабочая, д. 9 В</t>
  </si>
  <si>
    <t>Курск г., ул. Дубровинского, д. 7 А</t>
  </si>
  <si>
    <t>Курск г., ул. Дружининская, д. 26А, литА1</t>
  </si>
  <si>
    <t>Курск г., ул. Л.Толстого, д. 7 А</t>
  </si>
  <si>
    <t>Курск г., ул. Ленина, д. 84</t>
  </si>
  <si>
    <t>Курск г., ул. Маяковского, д. 105</t>
  </si>
  <si>
    <t>Курск г., ул. Семеновская, д. 78</t>
  </si>
  <si>
    <t>Курск г., ул. Ухтомского, д. 19, 5</t>
  </si>
  <si>
    <t>Курск г., ул. Школьная, д. 5, 12</t>
  </si>
  <si>
    <t>Курск г., ул, Маяковского, д.109</t>
  </si>
  <si>
    <t>Курск г., ул. Республиканская, д.52 Б</t>
  </si>
  <si>
    <t>Курск г., ул. Кавказкая, д.37</t>
  </si>
  <si>
    <t>Курск г., ул. Крюкова, д.16</t>
  </si>
  <si>
    <t>Курск г., пр-кт. Дружбы, д.2</t>
  </si>
  <si>
    <t>Курск г., проезд Магистральный, д.12А</t>
  </si>
  <si>
    <t>Курск г., ул. Ленина, д.20</t>
  </si>
  <si>
    <t>Курск г., пр-кт Дружбы, д.4</t>
  </si>
  <si>
    <t>Курск г., ул. Краснознаменная, д. 20 А</t>
  </si>
  <si>
    <t>Курск г., ул. Гайдара,  д.21</t>
  </si>
  <si>
    <t>Курск г., пер. 3-й Промышленный, д. 6</t>
  </si>
  <si>
    <t>Курск г., пр-т Ленинского Комсомола,  д.85</t>
  </si>
  <si>
    <t>Курск г., пр-т Ленинского Комсомола, д. 91</t>
  </si>
  <si>
    <t>Курск г., пр-т Ленинского Комсомола,  д.95</t>
  </si>
  <si>
    <t>Курск г., ул. Рабочая 2-я, д.2 корп.41</t>
  </si>
  <si>
    <t>Курск г.,ул. 50 лет Октября, д.4 корп.2</t>
  </si>
  <si>
    <t>Курск г., ул. 50 лет Октября, д.4 корп.5</t>
  </si>
  <si>
    <t>Курск г., ул. 50 лет Октября, д.4 корп.3</t>
  </si>
  <si>
    <t>Курск г., ул. 50 лет Октября, д.4 корп.4</t>
  </si>
  <si>
    <t>Курск г., ул. Белинского, д. 30</t>
  </si>
  <si>
    <t>Курск г., ул. Дзержинского,  д.64, 2</t>
  </si>
  <si>
    <t>Курск г., ул. Дружбы, д. 13, А</t>
  </si>
  <si>
    <t>Курск г., ул. Дружбы, д. 15</t>
  </si>
  <si>
    <t>Курск г., ул. Дружбы, д. 17</t>
  </si>
  <si>
    <t>Курск г., ул. Дубровинского, д. 3 А</t>
  </si>
  <si>
    <t>Курск г., ул. Дубровинского, д. 5</t>
  </si>
  <si>
    <t>Курск г., ул. Ендовищенская, д. 2</t>
  </si>
  <si>
    <t>Курск г., ул. К.Маркса, д. 33, 41</t>
  </si>
  <si>
    <t>Курск г., ул. К.Маркса,  д.72, 3</t>
  </si>
  <si>
    <t>Курск г., ул. К.Маркса, д. 72, 7</t>
  </si>
  <si>
    <t>Курск г., ул. Л.Толстого,  д.10</t>
  </si>
  <si>
    <t>Курск г., ул. Ленина,  д.8</t>
  </si>
  <si>
    <t>Курск г., ул. Менделеева,  д.18</t>
  </si>
  <si>
    <t>Курск г., ул. Менделеева, д. 33</t>
  </si>
  <si>
    <t>Курск г., ул. Менделеева, д. 41</t>
  </si>
  <si>
    <t>Курск г., ул. Ольшанского, д. 25</t>
  </si>
  <si>
    <t>Курск г., ул. Радищева, д. 25</t>
  </si>
  <si>
    <t>Курск г., ул. Садовая, д. 3</t>
  </si>
  <si>
    <t>Курск г., ул. Сторожевая,  д.7</t>
  </si>
  <si>
    <t>Курск г., ул. Сумская, д. 46Б</t>
  </si>
  <si>
    <t>Курск г., ул. Сумская, д. 48 А</t>
  </si>
  <si>
    <t>Курск г., ул. Школьная,  д.5/11</t>
  </si>
  <si>
    <t>Курск г., ул. Школьная, д. 5/13</t>
  </si>
  <si>
    <t>Курск г., ул. Школьная,  д.5/15</t>
  </si>
  <si>
    <t>Курск г., ул. Школьная,  д.5/16</t>
  </si>
  <si>
    <t>Курск г., ул. Халтурина,  д.22</t>
  </si>
  <si>
    <t>Курск г., ул. Юности,  д.26</t>
  </si>
  <si>
    <t>Курск г., ул. К.Маркса,  д.72, 5</t>
  </si>
  <si>
    <t>Курск г., ул. Конорева,  д.14, 47</t>
  </si>
  <si>
    <t>Курск г., ул. Обоянская,  д.42 А</t>
  </si>
  <si>
    <t>Курск г., ул. Ольшанского,  д.33</t>
  </si>
  <si>
    <t>Курск г., ул. Ольшанского,  д.43 А</t>
  </si>
  <si>
    <t>Курск г., ул. Парковая, д. 10</t>
  </si>
  <si>
    <t>Курск г., ул. Пигорева,  д.12</t>
  </si>
  <si>
    <t>Курск г., ул. Сумская, д. 40 Б</t>
  </si>
  <si>
    <t>Курск г., ул. Сумская,  д.42 А</t>
  </si>
  <si>
    <t>Курск г., ул. Сумская,  д.46</t>
  </si>
  <si>
    <t>Курск г., ул. Сумская,  д.46А</t>
  </si>
  <si>
    <t>Курск г., ул. Республиканская,  д.22</t>
  </si>
  <si>
    <t>Курск г., ул. Республиканская,  д.34</t>
  </si>
  <si>
    <t>Курск г., ул. Союзная,  д.25</t>
  </si>
  <si>
    <t>Курск г., ул. Союзная,  д.27</t>
  </si>
  <si>
    <t>Курск г., ул. Сумская,  д.50/А</t>
  </si>
  <si>
    <t>Курск г., ул. Сумская,  д.52, 2</t>
  </si>
  <si>
    <t>Курск г., ул. Сумская, д. 48</t>
  </si>
  <si>
    <t>Курск г., ул. Карла Маркса, д. 47</t>
  </si>
  <si>
    <t>Курск г., 2-я Рабочая,  д.1, 39</t>
  </si>
  <si>
    <t>Курск г., ул. Володарского, д.8А</t>
  </si>
  <si>
    <t>Курск г., ул. Л.Толстого,д. 7 Б</t>
  </si>
  <si>
    <t>Курск г.,  ул. Энергетиков 4, д.13</t>
  </si>
  <si>
    <t>Курск г., ул. 2-я Рабочая, д.9 Б</t>
  </si>
  <si>
    <t>Курск г., проезд Мирный, д.11</t>
  </si>
  <si>
    <t>Курск г.,ул. Дзержинского, д.90</t>
  </si>
  <si>
    <t>Курск г., ул. 2-я Кожевенная, д.16</t>
  </si>
  <si>
    <t>Курск г., ул. Золотая, д.28</t>
  </si>
  <si>
    <t>Курск г., ул. Халтурина, д.19</t>
  </si>
  <si>
    <t>Курск г., ул. 50 лет Октября, д.145</t>
  </si>
  <si>
    <t>Курск г., ул. Рабочая 2-я, д.9</t>
  </si>
  <si>
    <t>Камыши пос.,  д.14</t>
  </si>
  <si>
    <t>Черемушки пос., д.21</t>
  </si>
  <si>
    <t>Черемушки пос.,  д.22</t>
  </si>
  <si>
    <t>Черемушки пос.,  д.23</t>
  </si>
  <si>
    <t>Камыши пос.,  д.15</t>
  </si>
  <si>
    <t>Камыши пос., д. 22</t>
  </si>
  <si>
    <t>Петрин пос.,  д.2</t>
  </si>
  <si>
    <t>Черемушки пос., д.20</t>
  </si>
  <si>
    <t>Курчатов г. (11)</t>
  </si>
  <si>
    <t>Курчатов г., проспект Коммунистический, д.19</t>
  </si>
  <si>
    <t>Курчатов г., ул. Пионерская, д.3</t>
  </si>
  <si>
    <t>Курчатов г., ул. Набережная, д.11</t>
  </si>
  <si>
    <t>Курчатов г., ул. Садовая, д.4</t>
  </si>
  <si>
    <t>Курчатов г., ул. Садовая, д.22</t>
  </si>
  <si>
    <t>Курчатов г., проспект Коммунистический, д.1</t>
  </si>
  <si>
    <t>Курчатов г., ул. Ленинградская,  д.13</t>
  </si>
  <si>
    <t>Курчатов г., ул. Ленинградская,  д.15</t>
  </si>
  <si>
    <t>Курчатов г., ул. Ленинградская,  д.21</t>
  </si>
  <si>
    <t>Курчатов г., ул. Ленинградская,  д.23</t>
  </si>
  <si>
    <t>Курчатов г., ул. Ленинградская,  д.29</t>
  </si>
  <si>
    <t>им. К.Либкнехта пос., ул. Молодёжная,  д.14</t>
  </si>
  <si>
    <t>им. К.Либкнехта пос., ул. Ленина,  д.12</t>
  </si>
  <si>
    <t>им. К.Либкнехта пос., ул. Лесная, д. 5</t>
  </si>
  <si>
    <t>им. К.Либкнехта пос., ул. Кирова,  д.4</t>
  </si>
  <si>
    <t>им. К.Либкнехта пос., ул. Лесная, д. 4</t>
  </si>
  <si>
    <t>им. К.Либкнехта пос., ул. Мира, д. 12</t>
  </si>
  <si>
    <t>им. К.Либкнехта пос., ул. Мира, д. 18</t>
  </si>
  <si>
    <t>им. К.Либкнехта пос., ул. Мира, д. 3</t>
  </si>
  <si>
    <t>Льгов г., ул. Гоголя, д.68</t>
  </si>
  <si>
    <t>Льгов г., ул. Примакова, д.85</t>
  </si>
  <si>
    <t>Льгов г., ул. К.Маркса, д.35</t>
  </si>
  <si>
    <t>Сейм с., ул. Мира, д. 1</t>
  </si>
  <si>
    <t>Сейм с., ул. Мира, д. 2</t>
  </si>
  <si>
    <t>Сейм с., ул. Мира, д. 4</t>
  </si>
  <si>
    <t>Обоянь г., ул. Луначарского, д. 74</t>
  </si>
  <si>
    <t>Обоянь г., ул. Володарского, д.61</t>
  </si>
  <si>
    <t>Пристень пос., ул. Советская, д. 45</t>
  </si>
  <si>
    <t>Пристень пос., ул. Советская, д. 47</t>
  </si>
  <si>
    <t>Марьино пос., ул. Садовая, д. 4</t>
  </si>
  <si>
    <t>Марьино пос., ул. Садовая, д. 2</t>
  </si>
  <si>
    <t>Рыльск г., ул. Ворошилова, д.76</t>
  </si>
  <si>
    <t>Рыльск г., ул. Р.Люксембург, д.62</t>
  </si>
  <si>
    <t>Рыльск г., ул. Ленина, д.58</t>
  </si>
  <si>
    <t>Рыльск г., ул. Ворошилова, д.80</t>
  </si>
  <si>
    <t>Кшенский пос., ул. Заводская, д. 1</t>
  </si>
  <si>
    <t>Тим пос., ул. Кирова, д.39 А</t>
  </si>
  <si>
    <t>Верхний Любаж с., ул. Комсомольская, д.20</t>
  </si>
  <si>
    <t>Калиновка с., ул. Комсомольская, д. 1</t>
  </si>
  <si>
    <t>Хомутовка пос., ул. Советская,д. 3</t>
  </si>
  <si>
    <t>Хомутовка пос., ул. Советская,д. 10</t>
  </si>
  <si>
    <t>Хомутовка пос., ул. Пионерская, д.3</t>
  </si>
  <si>
    <t>Черемисиново пос., ул. Кооперативная, д. 9</t>
  </si>
  <si>
    <t>Щигры г., ул. Красная, д.31</t>
  </si>
  <si>
    <t>Щигры г., ул. Красная, д.51</t>
  </si>
  <si>
    <t>Щигры г., ул. Лермонтова, д. 9</t>
  </si>
  <si>
    <t>Щигры г., ул. Октябрьская, д. 31</t>
  </si>
  <si>
    <t>Щигры г., ул. Зелёная, д.26</t>
  </si>
  <si>
    <t>Щигры г., ул. Красная, д.49</t>
  </si>
  <si>
    <t>Щигры г., ул. Крупской, д. 26</t>
  </si>
  <si>
    <t>Щигры г., ул. Луначарского, д. 18</t>
  </si>
  <si>
    <t>Щигры г., ул. Луначарского, д. 8</t>
  </si>
  <si>
    <t>Щигры г., ул. Лазарева, д.5</t>
  </si>
  <si>
    <t>Щигры г., ул. Лазарева, д.10</t>
  </si>
  <si>
    <t>Щигры г., ул. Красная, д.36</t>
  </si>
  <si>
    <t>Курск г., ул. Энергетиков 2, д.25</t>
  </si>
  <si>
    <t>Курск г., пер. Южный, д.18/2</t>
  </si>
  <si>
    <t>Курск г., пер. Южный, д.18/3</t>
  </si>
  <si>
    <t>Рыльский район (7)</t>
  </si>
  <si>
    <t>г.Щигры (11)</t>
  </si>
  <si>
    <t>Льгов г. (3)</t>
  </si>
  <si>
    <t>Курск г. (120)</t>
  </si>
  <si>
    <t>Глушковский р-н (1)</t>
  </si>
  <si>
    <t>Курск (160)</t>
  </si>
  <si>
    <t>Курчатовский район (1)</t>
  </si>
  <si>
    <t>8ff9bea5-a886-4b2a-b8cf-ea5dead3ec88</t>
  </si>
  <si>
    <t>c07e86c6-c350-40fe-912d-598b0c55f6ac</t>
  </si>
  <si>
    <t>8eca0994-f99d-48d3-90fd-b950500d8955</t>
  </si>
  <si>
    <t>bccbb94f-3b7e-4bc4-8bb1-18140831a721</t>
  </si>
  <si>
    <t>Публично-правовая компания «Фонд развития территорий»</t>
  </si>
  <si>
    <t>Льгов г. (5)</t>
  </si>
  <si>
    <t>Рыльский район (5)</t>
  </si>
  <si>
    <t>55a2fa8c-7db2-419a-893b-b56e1eb18940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</si>
</sst>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3.5"/>
      <color theme="1"/>
      <name val="Arial"/>
      <family val="2"/>
      <charset val="204"/>
    </font>
    <font>
      <sz val="13.5"/>
      <color theme="1"/>
      <name val="Times New Roman"/>
      <family val="1"/>
      <charset val="204"/>
    </font>
    <font>
      <sz val="13.5"/>
      <color theme="0"/>
      <name val="Times New Roman"/>
      <family val="1"/>
      <charset val="204"/>
    </font>
    <font>
      <sz val="13.5"/>
      <color theme="0"/>
      <name val="Calibri"/>
      <family val="2"/>
      <charset val="204"/>
      <scheme val="minor"/>
    </font>
    <font>
      <b/>
      <sz val="13.5"/>
      <name val="Times New Roman"/>
      <family val="1"/>
      <charset val="204"/>
    </font>
    <font>
      <sz val="14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3.5"/>
      <color theme="1"/>
      <name val="Times New Roman"/>
      <family val="1"/>
      <charset val="204"/>
    </font>
    <font>
      <b/>
      <sz val="18"/>
      <color theme="1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26"/>
      <name val="Arial"/>
      <family val="2"/>
      <charset val="204"/>
    </font>
    <font>
      <b/>
      <sz val="30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20"/>
      <color theme="1"/>
      <name val="Arial"/>
      <family val="2"/>
      <charset val="204"/>
    </font>
    <font>
      <b/>
      <sz val="32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2"/>
      <name val="Calibri"/>
      <family val="2"/>
    </font>
    <font>
      <sz val="30"/>
      <name val="Arial"/>
      <family val="2"/>
      <charset val="204"/>
    </font>
    <font>
      <sz val="22"/>
      <name val="Times New Roman"/>
      <family val="1"/>
      <charset val="204"/>
    </font>
    <font>
      <b/>
      <sz val="24"/>
      <name val="Arial"/>
      <family val="2"/>
      <charset val="204"/>
    </font>
    <font>
      <sz val="24"/>
      <name val="Arial"/>
      <family val="2"/>
      <charset val="204"/>
    </font>
    <font>
      <sz val="24"/>
      <color theme="1"/>
      <name val="Arial"/>
      <family val="2"/>
      <charset val="204"/>
    </font>
    <font>
      <i/>
      <sz val="24"/>
      <name val="Arial"/>
      <family val="2"/>
      <charset val="204"/>
    </font>
    <font>
      <sz val="24"/>
      <color rgb="FF0000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2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40">
    <xf numFmtId="0" fontId="0" fillId="0" borderId="0" xfId="0"/>
    <xf numFmtId="0" fontId="3" fillId="0" borderId="0" xfId="0" applyFont="1"/>
    <xf numFmtId="4" fontId="7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8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/>
    </xf>
    <xf numFmtId="4" fontId="20" fillId="0" borderId="0" xfId="0" applyNumberFormat="1" applyFont="1" applyFill="1"/>
    <xf numFmtId="0" fontId="21" fillId="0" borderId="0" xfId="0" applyFont="1" applyFill="1"/>
    <xf numFmtId="0" fontId="21" fillId="0" borderId="0" xfId="0" applyFont="1"/>
    <xf numFmtId="0" fontId="23" fillId="0" borderId="1" xfId="0" applyFont="1" applyFill="1" applyBorder="1" applyAlignment="1">
      <alignment horizontal="center" vertical="center" textRotation="90" wrapText="1"/>
    </xf>
    <xf numFmtId="164" fontId="22" fillId="0" borderId="7" xfId="1" applyFont="1" applyFill="1" applyBorder="1" applyAlignment="1">
      <alignment horizontal="center" vertical="center" wrapText="1"/>
    </xf>
    <xf numFmtId="164" fontId="22" fillId="0" borderId="1" xfId="1" applyFont="1" applyFill="1" applyBorder="1" applyAlignment="1">
      <alignment horizontal="center" vertical="center" wrapText="1"/>
    </xf>
    <xf numFmtId="4" fontId="22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/>
    <xf numFmtId="4" fontId="28" fillId="0" borderId="0" xfId="0" applyNumberFormat="1" applyFont="1" applyFill="1" applyBorder="1"/>
    <xf numFmtId="0" fontId="28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28" fillId="2" borderId="0" xfId="0" applyFont="1" applyFill="1" applyBorder="1"/>
    <xf numFmtId="0" fontId="28" fillId="2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32" fillId="0" borderId="0" xfId="0" applyFont="1" applyFill="1" applyBorder="1"/>
    <xf numFmtId="4" fontId="32" fillId="0" borderId="0" xfId="0" applyNumberFormat="1" applyFont="1" applyFill="1" applyBorder="1" applyAlignment="1">
      <alignment horizontal="center"/>
    </xf>
    <xf numFmtId="4" fontId="32" fillId="0" borderId="0" xfId="0" applyNumberFormat="1" applyFont="1" applyFill="1" applyBorder="1"/>
    <xf numFmtId="4" fontId="29" fillId="0" borderId="0" xfId="0" applyNumberFormat="1" applyFont="1" applyFill="1" applyAlignment="1">
      <alignment horizontal="center" vertical="center"/>
    </xf>
    <xf numFmtId="4" fontId="27" fillId="0" borderId="0" xfId="0" applyNumberFormat="1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4" fontId="27" fillId="0" borderId="1" xfId="0" applyNumberFormat="1" applyFont="1" applyFill="1" applyBorder="1" applyAlignment="1">
      <alignment horizontal="center" vertical="center" shrinkToFit="1"/>
    </xf>
    <xf numFmtId="0" fontId="36" fillId="0" borderId="1" xfId="0" applyNumberFormat="1" applyFont="1" applyFill="1" applyBorder="1" applyAlignment="1">
      <alignment horizontal="center" vertical="center" shrinkToFit="1"/>
    </xf>
    <xf numFmtId="0" fontId="35" fillId="0" borderId="1" xfId="1" applyNumberFormat="1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 shrinkToFit="1"/>
    </xf>
    <xf numFmtId="4" fontId="35" fillId="0" borderId="1" xfId="0" applyNumberFormat="1" applyFont="1" applyFill="1" applyBorder="1" applyAlignment="1">
      <alignment horizontal="center" vertical="center" shrinkToFit="1"/>
    </xf>
    <xf numFmtId="4" fontId="35" fillId="0" borderId="1" xfId="1" quotePrefix="1" applyNumberFormat="1" applyFont="1" applyFill="1" applyBorder="1" applyAlignment="1">
      <alignment horizontal="center" vertical="center" shrinkToFit="1"/>
    </xf>
    <xf numFmtId="4" fontId="35" fillId="0" borderId="1" xfId="1" applyNumberFormat="1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left" vertical="center" shrinkToFit="1"/>
    </xf>
    <xf numFmtId="0" fontId="36" fillId="0" borderId="1" xfId="0" applyFont="1" applyFill="1" applyBorder="1" applyAlignment="1">
      <alignment horizontal="left" vertical="center" shrinkToFit="1"/>
    </xf>
    <xf numFmtId="0" fontId="36" fillId="0" borderId="1" xfId="0" applyFont="1" applyFill="1" applyBorder="1" applyAlignment="1">
      <alignment horizontal="center" vertical="center" shrinkToFit="1"/>
    </xf>
    <xf numFmtId="4" fontId="36" fillId="0" borderId="1" xfId="0" applyNumberFormat="1" applyFont="1" applyFill="1" applyBorder="1" applyAlignment="1">
      <alignment horizontal="center" vertical="center" shrinkToFit="1"/>
    </xf>
    <xf numFmtId="4" fontId="36" fillId="0" borderId="1" xfId="1" quotePrefix="1" applyNumberFormat="1" applyFont="1" applyFill="1" applyBorder="1" applyAlignment="1">
      <alignment horizontal="center" vertical="center" shrinkToFit="1"/>
    </xf>
    <xf numFmtId="4" fontId="36" fillId="0" borderId="1" xfId="1" applyNumberFormat="1" applyFont="1" applyFill="1" applyBorder="1" applyAlignment="1">
      <alignment horizontal="center" vertical="center" shrinkToFit="1"/>
    </xf>
    <xf numFmtId="0" fontId="36" fillId="0" borderId="1" xfId="1" applyNumberFormat="1" applyFont="1" applyFill="1" applyBorder="1" applyAlignment="1">
      <alignment horizontal="center" vertical="center" shrinkToFit="1"/>
    </xf>
    <xf numFmtId="4" fontId="36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36" fillId="0" borderId="1" xfId="0" applyNumberFormat="1" applyFont="1" applyFill="1" applyBorder="1" applyAlignment="1">
      <alignment horizontal="center" shrinkToFit="1"/>
    </xf>
    <xf numFmtId="4" fontId="37" fillId="0" borderId="1" xfId="0" applyNumberFormat="1" applyFont="1" applyFill="1" applyBorder="1" applyAlignment="1">
      <alignment horizontal="center" vertical="center" shrinkToFit="1"/>
    </xf>
    <xf numFmtId="0" fontId="39" fillId="0" borderId="1" xfId="0" applyFont="1" applyFill="1" applyBorder="1" applyAlignment="1">
      <alignment horizontal="center" vertical="center" shrinkToFit="1"/>
    </xf>
    <xf numFmtId="4" fontId="39" fillId="0" borderId="1" xfId="0" applyNumberFormat="1" applyFont="1" applyFill="1" applyBorder="1" applyAlignment="1">
      <alignment horizontal="center" vertical="center" shrinkToFit="1"/>
    </xf>
    <xf numFmtId="4" fontId="40" fillId="0" borderId="1" xfId="0" applyNumberFormat="1" applyFont="1" applyFill="1" applyBorder="1" applyAlignment="1">
      <alignment horizontal="center" vertical="center" shrinkToFit="1"/>
    </xf>
    <xf numFmtId="4" fontId="37" fillId="0" borderId="1" xfId="0" applyNumberFormat="1" applyFont="1" applyFill="1" applyBorder="1" applyAlignment="1">
      <alignment vertical="center" shrinkToFit="1"/>
    </xf>
    <xf numFmtId="0" fontId="37" fillId="0" borderId="1" xfId="0" applyFont="1" applyFill="1" applyBorder="1" applyAlignment="1">
      <alignment horizontal="center" vertical="center" shrinkToFit="1"/>
    </xf>
    <xf numFmtId="0" fontId="36" fillId="0" borderId="2" xfId="0" applyFont="1" applyFill="1" applyBorder="1" applyAlignment="1">
      <alignment horizontal="center" vertical="center" shrinkToFit="1"/>
    </xf>
    <xf numFmtId="4" fontId="35" fillId="0" borderId="2" xfId="0" applyNumberFormat="1" applyFont="1" applyFill="1" applyBorder="1" applyAlignment="1">
      <alignment horizontal="center" vertical="center" shrinkToFit="1"/>
    </xf>
    <xf numFmtId="4" fontId="36" fillId="0" borderId="1" xfId="0" applyNumberFormat="1" applyFont="1" applyFill="1" applyBorder="1" applyAlignment="1">
      <alignment shrinkToFit="1"/>
    </xf>
    <xf numFmtId="4" fontId="41" fillId="0" borderId="1" xfId="0" applyNumberFormat="1" applyFont="1" applyFill="1" applyBorder="1" applyAlignment="1">
      <alignment shrinkToFit="1"/>
    </xf>
    <xf numFmtId="4" fontId="41" fillId="0" borderId="1" xfId="0" applyNumberFormat="1" applyFont="1" applyFill="1" applyBorder="1" applyAlignment="1">
      <alignment horizontal="center" shrinkToFit="1"/>
    </xf>
    <xf numFmtId="0" fontId="28" fillId="0" borderId="1" xfId="0" applyFont="1" applyFill="1" applyBorder="1" applyAlignment="1"/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shrinkToFit="1"/>
    </xf>
    <xf numFmtId="49" fontId="37" fillId="0" borderId="1" xfId="0" applyNumberFormat="1" applyFont="1" applyFill="1" applyBorder="1" applyAlignment="1">
      <alignment horizontal="left" vertical="center" shrinkToFit="1"/>
    </xf>
    <xf numFmtId="0" fontId="38" fillId="0" borderId="1" xfId="0" applyFont="1" applyFill="1" applyBorder="1" applyAlignment="1">
      <alignment horizontal="left" vertical="center" shrinkToFit="1"/>
    </xf>
    <xf numFmtId="4" fontId="35" fillId="0" borderId="1" xfId="0" applyNumberFormat="1" applyFont="1" applyFill="1" applyBorder="1" applyAlignment="1">
      <alignment horizontal="left" vertical="center" shrinkToFit="1"/>
    </xf>
    <xf numFmtId="0" fontId="36" fillId="0" borderId="1" xfId="0" applyFont="1" applyFill="1" applyBorder="1" applyAlignment="1">
      <alignment vertical="center" shrinkToFit="1"/>
    </xf>
    <xf numFmtId="49" fontId="36" fillId="0" borderId="1" xfId="0" applyNumberFormat="1" applyFont="1" applyFill="1" applyBorder="1" applyAlignment="1">
      <alignment horizontal="left" vertical="center" shrinkToFit="1"/>
    </xf>
    <xf numFmtId="0" fontId="2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center" vertical="center" textRotation="90" wrapText="1"/>
    </xf>
    <xf numFmtId="4" fontId="23" fillId="0" borderId="5" xfId="0" applyNumberFormat="1" applyFont="1" applyFill="1" applyBorder="1" applyAlignment="1">
      <alignment horizontal="center" vertical="center" textRotation="90" wrapText="1"/>
    </xf>
    <xf numFmtId="4" fontId="23" fillId="0" borderId="6" xfId="0" applyNumberFormat="1" applyFont="1" applyFill="1" applyBorder="1" applyAlignment="1">
      <alignment horizontal="center" vertical="center" textRotation="90" wrapText="1"/>
    </xf>
    <xf numFmtId="4" fontId="21" fillId="0" borderId="2" xfId="0" applyNumberFormat="1" applyFont="1" applyFill="1" applyBorder="1" applyAlignment="1">
      <alignment horizontal="center" vertical="center" textRotation="90" wrapText="1"/>
    </xf>
    <xf numFmtId="4" fontId="21" fillId="0" borderId="5" xfId="0" applyNumberFormat="1" applyFont="1" applyFill="1" applyBorder="1" applyAlignment="1">
      <alignment horizontal="center" vertical="center" textRotation="90" wrapText="1"/>
    </xf>
    <xf numFmtId="4" fontId="21" fillId="0" borderId="6" xfId="0" applyNumberFormat="1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6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textRotation="90" wrapText="1"/>
    </xf>
    <xf numFmtId="0" fontId="24" fillId="0" borderId="5" xfId="0" applyFont="1" applyFill="1" applyBorder="1" applyAlignment="1">
      <alignment horizontal="center" vertical="center" textRotation="90" wrapText="1"/>
    </xf>
    <xf numFmtId="0" fontId="24" fillId="0" borderId="6" xfId="0" applyFont="1" applyFill="1" applyBorder="1" applyAlignment="1">
      <alignment horizontal="center" vertical="center" textRotation="90" wrapText="1"/>
    </xf>
    <xf numFmtId="4" fontId="23" fillId="0" borderId="7" xfId="0" applyNumberFormat="1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center" vertical="center" textRotation="90"/>
    </xf>
    <xf numFmtId="4" fontId="23" fillId="0" borderId="5" xfId="0" applyNumberFormat="1" applyFont="1" applyFill="1" applyBorder="1" applyAlignment="1">
      <alignment horizontal="center" vertical="center" textRotation="90"/>
    </xf>
    <xf numFmtId="4" fontId="23" fillId="0" borderId="6" xfId="0" applyNumberFormat="1" applyFont="1" applyFill="1" applyBorder="1" applyAlignment="1">
      <alignment horizontal="center" vertical="center" textRotation="90"/>
    </xf>
    <xf numFmtId="4" fontId="22" fillId="0" borderId="2" xfId="1" applyNumberFormat="1" applyFont="1" applyFill="1" applyBorder="1" applyAlignment="1">
      <alignment horizontal="center" vertical="center" textRotation="90" wrapText="1"/>
    </xf>
    <xf numFmtId="4" fontId="22" fillId="0" borderId="5" xfId="1" applyNumberFormat="1" applyFont="1" applyFill="1" applyBorder="1" applyAlignment="1">
      <alignment horizontal="center" vertical="center" textRotation="90" wrapText="1"/>
    </xf>
    <xf numFmtId="4" fontId="21" fillId="0" borderId="6" xfId="0" applyNumberFormat="1" applyFont="1" applyFill="1" applyBorder="1" applyAlignment="1">
      <alignment horizontal="center" vertical="center" wrapText="1"/>
    </xf>
    <xf numFmtId="164" fontId="22" fillId="0" borderId="2" xfId="1" applyFont="1" applyFill="1" applyBorder="1" applyAlignment="1">
      <alignment horizontal="center" vertical="center" textRotation="90" wrapText="1"/>
    </xf>
    <xf numFmtId="164" fontId="22" fillId="0" borderId="5" xfId="1" applyFont="1" applyFill="1" applyBorder="1" applyAlignment="1">
      <alignment horizontal="center" vertical="center" textRotation="90" wrapText="1"/>
    </xf>
    <xf numFmtId="164" fontId="22" fillId="0" borderId="6" xfId="1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textRotation="90" wrapText="1"/>
    </xf>
    <xf numFmtId="4" fontId="28" fillId="0" borderId="5" xfId="0" applyNumberFormat="1" applyFont="1" applyFill="1" applyBorder="1" applyAlignment="1">
      <alignment horizontal="center" vertical="center" textRotation="90" wrapText="1"/>
    </xf>
    <xf numFmtId="4" fontId="28" fillId="0" borderId="6" xfId="0" applyNumberFormat="1" applyFont="1" applyFill="1" applyBorder="1" applyAlignment="1">
      <alignment horizontal="center" vertical="center" textRotation="90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4" fontId="26" fillId="0" borderId="0" xfId="0" applyNumberFormat="1" applyFont="1" applyFill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textRotation="90" wrapText="1"/>
    </xf>
    <xf numFmtId="0" fontId="23" fillId="0" borderId="2" xfId="0" applyNumberFormat="1" applyFont="1" applyFill="1" applyBorder="1" applyAlignment="1">
      <alignment horizontal="center" vertical="center" textRotation="90" wrapText="1"/>
    </xf>
    <xf numFmtId="0" fontId="23" fillId="0" borderId="5" xfId="0" applyNumberFormat="1" applyFont="1" applyFill="1" applyBorder="1" applyAlignment="1">
      <alignment horizontal="center" vertical="center" textRotation="90" wrapText="1"/>
    </xf>
    <xf numFmtId="0" fontId="23" fillId="0" borderId="6" xfId="0" applyNumberFormat="1" applyFont="1" applyFill="1" applyBorder="1" applyAlignment="1">
      <alignment horizontal="center" vertical="center" textRotation="90" wrapText="1"/>
    </xf>
    <xf numFmtId="4" fontId="23" fillId="0" borderId="2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1143000</xdr:colOff>
      <xdr:row>3</xdr:row>
      <xdr:rowOff>38100</xdr:rowOff>
    </xdr:from>
    <xdr:to>
      <xdr:col>31</xdr:col>
      <xdr:colOff>95250</xdr:colOff>
      <xdr:row>5</xdr:row>
      <xdr:rowOff>3390900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788640F1-BB1C-4C3B-80A9-BF2B8E0479F7}"/>
            </a:ext>
          </a:extLst>
        </xdr:cNvPr>
        <xdr:cNvSpPr txBox="1"/>
      </xdr:nvSpPr>
      <xdr:spPr>
        <a:xfrm>
          <a:off x="31242000" y="1447800"/>
          <a:ext cx="21964650" cy="579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ru-RU" sz="5400" b="0">
              <a:latin typeface="Arial" panose="020B0604020202020204" pitchFamily="34" charset="0"/>
              <a:cs typeface="Arial" panose="020B0604020202020204" pitchFamily="34" charset="0"/>
            </a:rPr>
            <a:t>УТВЕРЖДЕН</a:t>
          </a:r>
        </a:p>
        <a:p>
          <a:pPr algn="l"/>
          <a:r>
            <a:rPr lang="ru-RU" sz="5400" b="0">
              <a:latin typeface="Arial" panose="020B0604020202020204" pitchFamily="34" charset="0"/>
              <a:cs typeface="Arial" panose="020B0604020202020204" pitchFamily="34" charset="0"/>
            </a:rPr>
            <a:t>постановлением Администрации</a:t>
          </a:r>
        </a:p>
        <a:p>
          <a:pPr algn="l"/>
          <a:r>
            <a:rPr lang="ru-RU" sz="5400" b="0">
              <a:latin typeface="Arial" panose="020B0604020202020204" pitchFamily="34" charset="0"/>
              <a:cs typeface="Arial" panose="020B0604020202020204" pitchFamily="34" charset="0"/>
            </a:rPr>
            <a:t>Курской области</a:t>
          </a:r>
          <a:r>
            <a:rPr lang="ru-RU" sz="54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5400" b="0">
              <a:latin typeface="Arial" panose="020B0604020202020204" pitchFamily="34" charset="0"/>
              <a:cs typeface="Arial" panose="020B0604020202020204" pitchFamily="34" charset="0"/>
            </a:rPr>
            <a:t>от 28.03.2016  № 163-па</a:t>
          </a:r>
        </a:p>
        <a:p>
          <a:pPr algn="l"/>
          <a:r>
            <a:rPr lang="ru-RU" sz="5400" b="0">
              <a:latin typeface="Arial" panose="020B0604020202020204" pitchFamily="34" charset="0"/>
              <a:cs typeface="Arial" panose="020B0604020202020204" pitchFamily="34" charset="0"/>
            </a:rPr>
            <a:t>(в редакции постановления  Правительства</a:t>
          </a:r>
          <a:r>
            <a:rPr lang="ru-RU" sz="54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ru-RU" sz="5400" b="0">
              <a:latin typeface="Arial" panose="020B0604020202020204" pitchFamily="34" charset="0"/>
              <a:cs typeface="Arial" panose="020B0604020202020204" pitchFamily="34" charset="0"/>
            </a:rPr>
            <a:t>Курской области</a:t>
          </a:r>
        </a:p>
        <a:p>
          <a:pPr algn="l"/>
          <a:r>
            <a:rPr lang="ru-RU" sz="5400" b="0">
              <a:latin typeface="Arial" panose="020B0604020202020204" pitchFamily="34" charset="0"/>
              <a:cs typeface="Arial" panose="020B0604020202020204" pitchFamily="34" charset="0"/>
            </a:rPr>
            <a:t>от _____________________________ № ________________</a:t>
          </a:r>
          <a:r>
            <a:rPr lang="ru-RU" sz="54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622"/>
  <sheetViews>
    <sheetView tabSelected="1" view="pageBreakPreview" topLeftCell="B292" zoomScale="37" zoomScaleNormal="55" zoomScaleSheetLayoutView="37" workbookViewId="0">
      <selection activeCell="W305" sqref="W305"/>
    </sheetView>
  </sheetViews>
  <sheetFormatPr defaultColWidth="9.140625" defaultRowHeight="25.5" x14ac:dyDescent="0.25"/>
  <cols>
    <col min="1" max="1" width="132" style="13" hidden="1" customWidth="1"/>
    <col min="2" max="2" width="10.140625" style="37" customWidth="1"/>
    <col min="3" max="3" width="111" style="37" hidden="1" customWidth="1"/>
    <col min="4" max="4" width="100.28515625" style="8" customWidth="1"/>
    <col min="5" max="5" width="23.85546875" style="20" customWidth="1"/>
    <col min="6" max="6" width="39.85546875" style="21" customWidth="1"/>
    <col min="7" max="7" width="32.140625" style="21" customWidth="1"/>
    <col min="8" max="8" width="35.28515625" style="21" customWidth="1"/>
    <col min="9" max="9" width="12.42578125" style="20" customWidth="1"/>
    <col min="10" max="10" width="29.28515625" style="2" customWidth="1"/>
    <col min="11" max="11" width="30.28515625" style="3" customWidth="1"/>
    <col min="12" max="12" width="32.42578125" style="3" customWidth="1"/>
    <col min="13" max="13" width="26.42578125" style="3" customWidth="1"/>
    <col min="14" max="14" width="27.42578125" style="3" customWidth="1"/>
    <col min="15" max="15" width="31.42578125" style="22" customWidth="1"/>
    <col min="16" max="16" width="30.28515625" style="46" customWidth="1"/>
    <col min="17" max="17" width="28" style="3" customWidth="1"/>
    <col min="18" max="18" width="31.140625" style="3" customWidth="1"/>
    <col min="19" max="19" width="24.42578125" style="3" customWidth="1"/>
    <col min="20" max="20" width="17" style="3" customWidth="1"/>
    <col min="21" max="21" width="31.28515625" style="3" customWidth="1"/>
    <col min="22" max="22" width="25.140625" style="5" customWidth="1"/>
    <col min="23" max="23" width="48.140625" style="5" customWidth="1"/>
    <col min="24" max="24" width="23.7109375" style="3" customWidth="1"/>
    <col min="25" max="25" width="15.7109375" style="17" customWidth="1"/>
    <col min="26" max="26" width="13.5703125" style="17" customWidth="1"/>
    <col min="27" max="27" width="11.7109375" style="17" customWidth="1"/>
    <col min="28" max="28" width="46.42578125" style="24" customWidth="1"/>
    <col min="29" max="39" width="9.140625" style="13"/>
    <col min="40" max="16384" width="9.140625" style="1"/>
  </cols>
  <sheetData>
    <row r="1" spans="1:39" x14ac:dyDescent="0.25">
      <c r="D1" s="6"/>
      <c r="E1" s="10"/>
      <c r="F1" s="11"/>
      <c r="G1" s="11"/>
      <c r="H1" s="11"/>
      <c r="I1" s="10"/>
      <c r="O1" s="12"/>
      <c r="U1" s="4"/>
      <c r="V1" s="4"/>
      <c r="W1" s="125" t="s">
        <v>25</v>
      </c>
      <c r="X1" s="125"/>
      <c r="Y1" s="125"/>
      <c r="Z1" s="125"/>
      <c r="AA1" s="125"/>
      <c r="AB1" s="125"/>
    </row>
    <row r="2" spans="1:39" x14ac:dyDescent="0.25">
      <c r="D2" s="6"/>
      <c r="E2" s="10"/>
      <c r="F2" s="11"/>
      <c r="G2" s="11"/>
      <c r="H2" s="11"/>
      <c r="I2" s="10"/>
      <c r="O2" s="12"/>
      <c r="U2" s="4"/>
      <c r="V2" s="4"/>
      <c r="W2" s="125" t="s">
        <v>26</v>
      </c>
      <c r="X2" s="125"/>
      <c r="Y2" s="125"/>
      <c r="Z2" s="125"/>
      <c r="AA2" s="125"/>
      <c r="AB2" s="125"/>
    </row>
    <row r="3" spans="1:39" ht="57.75" customHeight="1" x14ac:dyDescent="0.25">
      <c r="D3" s="6"/>
      <c r="E3" s="10"/>
      <c r="F3" s="11"/>
      <c r="G3" s="11"/>
      <c r="H3" s="11"/>
      <c r="I3" s="10"/>
      <c r="O3" s="12"/>
      <c r="U3" s="4"/>
      <c r="V3" s="4"/>
      <c r="W3" s="89"/>
      <c r="X3" s="89"/>
      <c r="Y3" s="89"/>
      <c r="Z3" s="89"/>
      <c r="AA3" s="89"/>
      <c r="AB3" s="89"/>
    </row>
    <row r="4" spans="1:39" ht="74.25" customHeight="1" x14ac:dyDescent="0.25">
      <c r="D4" s="6"/>
      <c r="E4" s="10"/>
      <c r="F4" s="11"/>
      <c r="G4" s="11"/>
      <c r="H4" s="11"/>
      <c r="I4" s="10"/>
      <c r="O4" s="12"/>
      <c r="U4" s="4"/>
      <c r="V4" s="4"/>
      <c r="W4" s="122" t="s">
        <v>48</v>
      </c>
      <c r="X4" s="123"/>
      <c r="Y4" s="123"/>
      <c r="Z4" s="123"/>
      <c r="AA4" s="123"/>
      <c r="AB4" s="123"/>
    </row>
    <row r="5" spans="1:39" ht="117.75" customHeight="1" x14ac:dyDescent="0.25">
      <c r="D5" s="6"/>
      <c r="E5" s="10"/>
      <c r="F5" s="11"/>
      <c r="G5" s="11"/>
      <c r="H5" s="11"/>
      <c r="I5" s="10"/>
      <c r="O5" s="12"/>
      <c r="U5" s="4"/>
      <c r="V5" s="4"/>
      <c r="W5" s="122" t="s">
        <v>49</v>
      </c>
      <c r="X5" s="123"/>
      <c r="Y5" s="123"/>
      <c r="Z5" s="123"/>
      <c r="AA5" s="123"/>
      <c r="AB5" s="123"/>
    </row>
    <row r="6" spans="1:39" ht="388.5" customHeight="1" x14ac:dyDescent="0.25">
      <c r="D6" s="7"/>
      <c r="E6" s="14"/>
      <c r="F6" s="15"/>
      <c r="G6" s="15"/>
      <c r="H6" s="15"/>
      <c r="I6" s="14"/>
      <c r="O6" s="16"/>
      <c r="V6" s="3"/>
      <c r="W6" s="3"/>
      <c r="X6" s="17"/>
      <c r="AB6" s="23"/>
    </row>
    <row r="7" spans="1:39" ht="37.5" x14ac:dyDescent="0.25">
      <c r="D7" s="127" t="s">
        <v>56</v>
      </c>
      <c r="E7" s="128"/>
      <c r="F7" s="128"/>
      <c r="G7" s="128"/>
      <c r="H7" s="128"/>
      <c r="I7" s="128"/>
      <c r="J7" s="129"/>
      <c r="K7" s="129"/>
      <c r="L7" s="129"/>
      <c r="M7" s="129"/>
      <c r="N7" s="129"/>
      <c r="O7" s="130"/>
      <c r="P7" s="130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</row>
    <row r="8" spans="1:39" ht="33.75" customHeight="1" x14ac:dyDescent="0.25">
      <c r="D8" s="124" t="s">
        <v>57</v>
      </c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88"/>
    </row>
    <row r="9" spans="1:39" ht="27.75" x14ac:dyDescent="0.25">
      <c r="D9" s="18"/>
      <c r="E9" s="48"/>
      <c r="F9" s="48"/>
      <c r="G9" s="48"/>
      <c r="H9" s="48"/>
      <c r="I9" s="48"/>
      <c r="J9" s="19"/>
      <c r="K9" s="19"/>
      <c r="L9" s="19"/>
      <c r="M9" s="19"/>
      <c r="N9" s="19"/>
      <c r="O9" s="19"/>
      <c r="P9" s="47"/>
      <c r="Q9" s="19"/>
      <c r="R9" s="19"/>
      <c r="S9" s="19"/>
      <c r="T9" s="19"/>
      <c r="U9" s="19"/>
      <c r="V9" s="19"/>
      <c r="W9" s="9"/>
      <c r="X9" s="9"/>
      <c r="Y9" s="9"/>
      <c r="Z9" s="9"/>
      <c r="AA9" s="9"/>
      <c r="AB9" s="9"/>
    </row>
    <row r="10" spans="1:39" s="26" customFormat="1" ht="53.25" customHeight="1" x14ac:dyDescent="0.35">
      <c r="A10" s="25"/>
      <c r="B10" s="98" t="s">
        <v>2</v>
      </c>
      <c r="C10" s="116" t="s">
        <v>98</v>
      </c>
      <c r="D10" s="131" t="s">
        <v>55</v>
      </c>
      <c r="E10" s="96" t="s">
        <v>0</v>
      </c>
      <c r="F10" s="135" t="s">
        <v>4</v>
      </c>
      <c r="G10" s="135" t="s">
        <v>42</v>
      </c>
      <c r="H10" s="135" t="s">
        <v>5</v>
      </c>
      <c r="I10" s="101" t="s">
        <v>47</v>
      </c>
      <c r="J10" s="104" t="s">
        <v>14</v>
      </c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6"/>
      <c r="W10" s="110" t="s">
        <v>54</v>
      </c>
      <c r="X10" s="113" t="s">
        <v>6</v>
      </c>
      <c r="Y10" s="99" t="s">
        <v>7</v>
      </c>
      <c r="Z10" s="100"/>
      <c r="AA10" s="100"/>
      <c r="AB10" s="126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 spans="1:39" s="26" customFormat="1" ht="68.25" customHeight="1" x14ac:dyDescent="0.35">
      <c r="A11" s="25"/>
      <c r="B11" s="98"/>
      <c r="C11" s="117"/>
      <c r="D11" s="132"/>
      <c r="E11" s="134"/>
      <c r="F11" s="136"/>
      <c r="G11" s="136"/>
      <c r="H11" s="136"/>
      <c r="I11" s="102"/>
      <c r="J11" s="90" t="s">
        <v>68</v>
      </c>
      <c r="K11" s="90" t="s">
        <v>69</v>
      </c>
      <c r="L11" s="107" t="s">
        <v>70</v>
      </c>
      <c r="M11" s="90" t="s">
        <v>71</v>
      </c>
      <c r="N11" s="90" t="s">
        <v>72</v>
      </c>
      <c r="O11" s="90" t="s">
        <v>73</v>
      </c>
      <c r="P11" s="119" t="s">
        <v>74</v>
      </c>
      <c r="Q11" s="90" t="s">
        <v>75</v>
      </c>
      <c r="R11" s="90" t="s">
        <v>76</v>
      </c>
      <c r="S11" s="90" t="s">
        <v>77</v>
      </c>
      <c r="T11" s="93" t="s">
        <v>78</v>
      </c>
      <c r="U11" s="93" t="s">
        <v>79</v>
      </c>
      <c r="V11" s="93" t="s">
        <v>3</v>
      </c>
      <c r="W11" s="111"/>
      <c r="X11" s="114"/>
      <c r="Y11" s="99" t="s">
        <v>8</v>
      </c>
      <c r="Z11" s="100"/>
      <c r="AA11" s="96" t="s">
        <v>53</v>
      </c>
      <c r="AB11" s="138" t="s">
        <v>58</v>
      </c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s="26" customFormat="1" ht="186.75" customHeight="1" x14ac:dyDescent="0.35">
      <c r="A12" s="25"/>
      <c r="B12" s="98"/>
      <c r="C12" s="117"/>
      <c r="D12" s="132"/>
      <c r="E12" s="134"/>
      <c r="F12" s="136"/>
      <c r="G12" s="136"/>
      <c r="H12" s="136"/>
      <c r="I12" s="102"/>
      <c r="J12" s="91"/>
      <c r="K12" s="91"/>
      <c r="L12" s="108"/>
      <c r="M12" s="91"/>
      <c r="N12" s="91"/>
      <c r="O12" s="91"/>
      <c r="P12" s="120"/>
      <c r="Q12" s="91"/>
      <c r="R12" s="91"/>
      <c r="S12" s="91"/>
      <c r="T12" s="94"/>
      <c r="U12" s="94"/>
      <c r="V12" s="94"/>
      <c r="W12" s="111"/>
      <c r="X12" s="115"/>
      <c r="Y12" s="27" t="s">
        <v>1072</v>
      </c>
      <c r="Z12" s="27" t="s">
        <v>52</v>
      </c>
      <c r="AA12" s="97"/>
      <c r="AB12" s="139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 s="79" customFormat="1" ht="83.25" customHeight="1" x14ac:dyDescent="0.35">
      <c r="A13" s="25"/>
      <c r="B13" s="98"/>
      <c r="C13" s="118"/>
      <c r="D13" s="133"/>
      <c r="E13" s="97"/>
      <c r="F13" s="137"/>
      <c r="G13" s="137"/>
      <c r="H13" s="137"/>
      <c r="I13" s="103"/>
      <c r="J13" s="92"/>
      <c r="K13" s="92"/>
      <c r="L13" s="109"/>
      <c r="M13" s="92"/>
      <c r="N13" s="92"/>
      <c r="O13" s="92"/>
      <c r="P13" s="121"/>
      <c r="Q13" s="92"/>
      <c r="R13" s="92"/>
      <c r="S13" s="92"/>
      <c r="T13" s="95"/>
      <c r="U13" s="95"/>
      <c r="V13" s="95"/>
      <c r="W13" s="112"/>
      <c r="X13" s="29" t="s">
        <v>10</v>
      </c>
      <c r="Y13" s="28" t="s">
        <v>9</v>
      </c>
      <c r="Z13" s="29" t="s">
        <v>9</v>
      </c>
      <c r="AA13" s="29" t="s">
        <v>9</v>
      </c>
      <c r="AB13" s="30" t="s">
        <v>1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</row>
    <row r="14" spans="1:39" s="31" customFormat="1" ht="30" x14ac:dyDescent="0.35">
      <c r="A14" s="31">
        <v>2017</v>
      </c>
      <c r="B14" s="53" t="str">
        <f>IF(OR(E14=0,E14=""),"",COUNTA($E14:E$21))</f>
        <v/>
      </c>
      <c r="C14" s="53"/>
      <c r="D14" s="53" t="s">
        <v>11</v>
      </c>
      <c r="E14" s="53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5"/>
      <c r="W14" s="56"/>
      <c r="X14" s="52"/>
      <c r="Y14" s="52"/>
      <c r="Z14" s="52"/>
      <c r="AA14" s="52"/>
      <c r="AB14" s="56"/>
    </row>
    <row r="15" spans="1:39" s="31" customFormat="1" ht="45" customHeight="1" x14ac:dyDescent="0.35">
      <c r="A15" s="31">
        <v>2017</v>
      </c>
      <c r="B15" s="53" t="str">
        <f>IF(OR(E15=0,E15=""),"",COUNTA($E15:E$21))</f>
        <v/>
      </c>
      <c r="C15" s="53"/>
      <c r="D15" s="57" t="s">
        <v>97</v>
      </c>
      <c r="E15" s="53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5"/>
      <c r="W15" s="56"/>
      <c r="X15" s="52"/>
      <c r="Y15" s="52"/>
      <c r="Z15" s="52"/>
      <c r="AA15" s="52"/>
      <c r="AB15" s="56"/>
    </row>
    <row r="16" spans="1:39" s="31" customFormat="1" ht="52.5" customHeight="1" x14ac:dyDescent="0.35">
      <c r="A16" s="31">
        <v>2017</v>
      </c>
      <c r="B16" s="53">
        <f>IF(OR(E16=0,E16=""),"",COUNTA($E16:E$16))</f>
        <v>1</v>
      </c>
      <c r="C16" s="53" t="s">
        <v>216</v>
      </c>
      <c r="D16" s="58" t="s">
        <v>577</v>
      </c>
      <c r="E16" s="59">
        <v>1989</v>
      </c>
      <c r="F16" s="60">
        <v>6613.81</v>
      </c>
      <c r="G16" s="60">
        <v>5614.11</v>
      </c>
      <c r="H16" s="60">
        <v>0</v>
      </c>
      <c r="I16" s="60" t="s">
        <v>31</v>
      </c>
      <c r="J16" s="60"/>
      <c r="K16" s="60"/>
      <c r="L16" s="60"/>
      <c r="M16" s="60"/>
      <c r="N16" s="60"/>
      <c r="O16" s="60"/>
      <c r="P16" s="60">
        <f>612*F16</f>
        <v>4047651.72</v>
      </c>
      <c r="Q16" s="60"/>
      <c r="R16" s="60"/>
      <c r="S16" s="60"/>
      <c r="T16" s="60"/>
      <c r="U16" s="60">
        <f>50*F16</f>
        <v>330690.5</v>
      </c>
      <c r="V16" s="61">
        <f>(J16+K16+L16+M16+N16+O16+P16+Q16+R16+S16+T16)*0.0214</f>
        <v>86619.75</v>
      </c>
      <c r="W16" s="62">
        <f>V16+U16+T16+S16+R16+Q16+P16+O16+N16+M16+L16+K16+J16</f>
        <v>4464961.97</v>
      </c>
      <c r="X16" s="63" t="s">
        <v>12</v>
      </c>
      <c r="Y16" s="63">
        <v>0</v>
      </c>
      <c r="Z16" s="63">
        <v>0</v>
      </c>
      <c r="AA16" s="63">
        <v>0</v>
      </c>
      <c r="AB16" s="56">
        <f t="shared" ref="AB16:AB20" si="0">W16-(Y16+Z16+AA16)</f>
        <v>4464961.97</v>
      </c>
    </row>
    <row r="17" spans="1:28" s="31" customFormat="1" ht="52.5" customHeight="1" x14ac:dyDescent="0.35">
      <c r="A17" s="31">
        <v>2017</v>
      </c>
      <c r="B17" s="53">
        <f>IF(OR(E17=0,E17=""),"",COUNTA($E$16:E17))</f>
        <v>2</v>
      </c>
      <c r="C17" s="53" t="s">
        <v>436</v>
      </c>
      <c r="D17" s="58" t="s">
        <v>578</v>
      </c>
      <c r="E17" s="59">
        <v>1996</v>
      </c>
      <c r="F17" s="60">
        <v>6793.9</v>
      </c>
      <c r="G17" s="60">
        <v>4559.8</v>
      </c>
      <c r="H17" s="60">
        <v>0</v>
      </c>
      <c r="I17" s="60" t="s">
        <v>32</v>
      </c>
      <c r="J17" s="60"/>
      <c r="K17" s="60"/>
      <c r="L17" s="60"/>
      <c r="M17" s="60"/>
      <c r="N17" s="60"/>
      <c r="O17" s="60"/>
      <c r="P17" s="60">
        <f>612*F17</f>
        <v>4157866.8</v>
      </c>
      <c r="Q17" s="60"/>
      <c r="R17" s="60"/>
      <c r="S17" s="60"/>
      <c r="T17" s="60"/>
      <c r="U17" s="60">
        <f>50*F17</f>
        <v>339695</v>
      </c>
      <c r="V17" s="61">
        <f>(J17+K17+L17+M17+N17+O17+P17+Q17+R17+S17+T17)*0.0214</f>
        <v>88978.35</v>
      </c>
      <c r="W17" s="62">
        <f>V17+U17+T17+S17+R17+Q17+P17+O17+N17+M17+L17+K17+J17</f>
        <v>4586540.1500000004</v>
      </c>
      <c r="X17" s="63" t="s">
        <v>12</v>
      </c>
      <c r="Y17" s="63">
        <v>0</v>
      </c>
      <c r="Z17" s="63">
        <v>0</v>
      </c>
      <c r="AA17" s="63">
        <v>0</v>
      </c>
      <c r="AB17" s="56">
        <f t="shared" si="0"/>
        <v>4586540.1500000004</v>
      </c>
    </row>
    <row r="18" spans="1:28" s="31" customFormat="1" ht="52.5" customHeight="1" x14ac:dyDescent="0.35">
      <c r="A18" s="31">
        <v>2017</v>
      </c>
      <c r="B18" s="53">
        <f>IF(OR(E18=0,E18=""),"",COUNTA($E$16:E18))</f>
        <v>3</v>
      </c>
      <c r="C18" s="53" t="s">
        <v>330</v>
      </c>
      <c r="D18" s="58" t="s">
        <v>579</v>
      </c>
      <c r="E18" s="59">
        <v>1971</v>
      </c>
      <c r="F18" s="60">
        <v>5839</v>
      </c>
      <c r="G18" s="60">
        <v>4473.8999999999996</v>
      </c>
      <c r="H18" s="60">
        <v>1365.1</v>
      </c>
      <c r="I18" s="60" t="s">
        <v>33</v>
      </c>
      <c r="J18" s="60"/>
      <c r="K18" s="60"/>
      <c r="L18" s="60"/>
      <c r="M18" s="60"/>
      <c r="N18" s="60"/>
      <c r="O18" s="60"/>
      <c r="P18" s="60">
        <f>1679*F18</f>
        <v>9803681</v>
      </c>
      <c r="Q18" s="60"/>
      <c r="R18" s="60"/>
      <c r="S18" s="60"/>
      <c r="T18" s="60"/>
      <c r="U18" s="60">
        <f>50*F18</f>
        <v>291950</v>
      </c>
      <c r="V18" s="61">
        <f>(J18+K18+L18+M18+N18+O18+P18+Q18+R18+S18+T18)*0.0214</f>
        <v>209798.77</v>
      </c>
      <c r="W18" s="62">
        <f>V18+U18+T18+S18+R18+Q18+P18+O18+N18+M18+L18+K18+J18</f>
        <v>10305429.77</v>
      </c>
      <c r="X18" s="63" t="s">
        <v>12</v>
      </c>
      <c r="Y18" s="63">
        <v>0</v>
      </c>
      <c r="Z18" s="63">
        <v>0</v>
      </c>
      <c r="AA18" s="63">
        <v>0</v>
      </c>
      <c r="AB18" s="56">
        <f t="shared" si="0"/>
        <v>10305429.77</v>
      </c>
    </row>
    <row r="19" spans="1:28" s="31" customFormat="1" ht="52.5" customHeight="1" x14ac:dyDescent="0.35">
      <c r="A19" s="31">
        <v>2017</v>
      </c>
      <c r="B19" s="53" t="str">
        <f>IF(OR(E19=0,E19=""),"",COUNTA($E19:E$21))</f>
        <v/>
      </c>
      <c r="C19" s="53"/>
      <c r="D19" s="59"/>
      <c r="E19" s="59"/>
      <c r="F19" s="54">
        <f>SUM(F16:F18)</f>
        <v>19246.71</v>
      </c>
      <c r="G19" s="54">
        <f>SUM(G16:G18)</f>
        <v>14647.81</v>
      </c>
      <c r="H19" s="54">
        <f>SUM(H16:H18)</f>
        <v>1365.1</v>
      </c>
      <c r="I19" s="54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1"/>
      <c r="W19" s="56">
        <f>SUM(W16:W18)</f>
        <v>19356931.890000001</v>
      </c>
      <c r="X19" s="63"/>
      <c r="Y19" s="52">
        <v>0</v>
      </c>
      <c r="Z19" s="52">
        <v>0</v>
      </c>
      <c r="AA19" s="52">
        <v>0</v>
      </c>
      <c r="AB19" s="56">
        <f t="shared" si="0"/>
        <v>19356931.890000001</v>
      </c>
    </row>
    <row r="20" spans="1:28" s="31" customFormat="1" ht="52.5" customHeight="1" x14ac:dyDescent="0.35">
      <c r="A20" s="31">
        <v>2017</v>
      </c>
      <c r="B20" s="53" t="str">
        <f>IF(OR(E20=0,E20=""),"",COUNTA($E20:E$21))</f>
        <v/>
      </c>
      <c r="C20" s="53"/>
      <c r="D20" s="57" t="s">
        <v>23</v>
      </c>
      <c r="E20" s="53"/>
      <c r="F20" s="54">
        <f>F19</f>
        <v>19246.71</v>
      </c>
      <c r="G20" s="54">
        <f>G19</f>
        <v>14647.81</v>
      </c>
      <c r="H20" s="54">
        <f>H19</f>
        <v>1365.1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>
        <f>W19</f>
        <v>19356931.890000001</v>
      </c>
      <c r="X20" s="52"/>
      <c r="Y20" s="52">
        <v>0</v>
      </c>
      <c r="Z20" s="52">
        <v>0</v>
      </c>
      <c r="AA20" s="52">
        <v>0</v>
      </c>
      <c r="AB20" s="56">
        <f t="shared" si="0"/>
        <v>19356931.890000001</v>
      </c>
    </row>
    <row r="21" spans="1:28" s="31" customFormat="1" ht="52.5" customHeight="1" x14ac:dyDescent="0.35">
      <c r="A21" s="31">
        <v>2018</v>
      </c>
      <c r="B21" s="53" t="str">
        <f>IF(OR(E21=0,E21=""),"",COUNTA($E$21:E21))</f>
        <v/>
      </c>
      <c r="C21" s="53"/>
      <c r="D21" s="57" t="s">
        <v>16</v>
      </c>
      <c r="E21" s="53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  <c r="W21" s="56"/>
      <c r="X21" s="52"/>
      <c r="Y21" s="59"/>
      <c r="Z21" s="59"/>
      <c r="AA21" s="59"/>
      <c r="AB21" s="54"/>
    </row>
    <row r="22" spans="1:28" s="31" customFormat="1" ht="52.5" customHeight="1" x14ac:dyDescent="0.35">
      <c r="A22" s="31">
        <v>2018</v>
      </c>
      <c r="B22" s="53" t="str">
        <f>IF(OR(E22=0,E22=""),"",COUNTA($E$21:E22))</f>
        <v/>
      </c>
      <c r="C22" s="53"/>
      <c r="D22" s="57" t="s">
        <v>15</v>
      </c>
      <c r="E22" s="53"/>
      <c r="F22" s="54"/>
      <c r="G22" s="54"/>
      <c r="H22" s="54"/>
      <c r="I22" s="54"/>
      <c r="J22" s="54"/>
      <c r="K22" s="54"/>
      <c r="L22" s="60"/>
      <c r="M22" s="54"/>
      <c r="N22" s="54"/>
      <c r="O22" s="54"/>
      <c r="P22" s="54"/>
      <c r="Q22" s="54"/>
      <c r="R22" s="54"/>
      <c r="S22" s="54"/>
      <c r="T22" s="54"/>
      <c r="U22" s="54"/>
      <c r="V22" s="55"/>
      <c r="W22" s="56"/>
      <c r="X22" s="52"/>
      <c r="Y22" s="52"/>
      <c r="Z22" s="52"/>
      <c r="AA22" s="52"/>
      <c r="AB22" s="56"/>
    </row>
    <row r="23" spans="1:28" s="31" customFormat="1" ht="52.5" customHeight="1" x14ac:dyDescent="0.35">
      <c r="A23" s="31">
        <v>2018</v>
      </c>
      <c r="B23" s="53">
        <f>IF(OR(E23=0,E23=""),"",COUNTA($E$21:E23))</f>
        <v>1</v>
      </c>
      <c r="C23" s="53" t="s">
        <v>99</v>
      </c>
      <c r="D23" s="58" t="s">
        <v>580</v>
      </c>
      <c r="E23" s="59">
        <v>1948</v>
      </c>
      <c r="F23" s="60">
        <v>404.4</v>
      </c>
      <c r="G23" s="60">
        <v>361</v>
      </c>
      <c r="H23" s="60">
        <v>43.8</v>
      </c>
      <c r="I23" s="60" t="s">
        <v>35</v>
      </c>
      <c r="J23" s="60">
        <f>431*F23</f>
        <v>174296.4</v>
      </c>
      <c r="K23" s="60"/>
      <c r="L23" s="60"/>
      <c r="M23" s="60">
        <f>223*F23</f>
        <v>90181.2</v>
      </c>
      <c r="N23" s="60"/>
      <c r="O23" s="60"/>
      <c r="P23" s="60">
        <f>2013*F23</f>
        <v>814057.2</v>
      </c>
      <c r="Q23" s="60"/>
      <c r="R23" s="60">
        <f>1657*F23</f>
        <v>670090.80000000005</v>
      </c>
      <c r="S23" s="60">
        <f>134*F23</f>
        <v>54189.599999999999</v>
      </c>
      <c r="T23" s="60"/>
      <c r="U23" s="60">
        <f>50*F23</f>
        <v>20220</v>
      </c>
      <c r="V23" s="60">
        <f>(J23+K23+L23+M23+N23+O23+P23+Q23+R23+S23+T23)*0.0214</f>
        <v>38580.25</v>
      </c>
      <c r="W23" s="62">
        <f>V23+U23+T23+S23+R23+Q23+P23+O23+N23+M23+L23+K23+J23</f>
        <v>1861615.45</v>
      </c>
      <c r="X23" s="60" t="s">
        <v>17</v>
      </c>
      <c r="Y23" s="63">
        <v>0</v>
      </c>
      <c r="Z23" s="63">
        <v>0</v>
      </c>
      <c r="AA23" s="63">
        <v>0</v>
      </c>
      <c r="AB23" s="56">
        <f>W23-(Y23+Z23+AA23)</f>
        <v>1861615.45</v>
      </c>
    </row>
    <row r="24" spans="1:28" s="31" customFormat="1" ht="52.5" customHeight="1" x14ac:dyDescent="0.35">
      <c r="A24" s="31">
        <v>2018</v>
      </c>
      <c r="B24" s="53" t="str">
        <f>IF(OR(E24=0,E24=""),"",COUNTA($E$21:E24))</f>
        <v/>
      </c>
      <c r="C24" s="53"/>
      <c r="D24" s="57"/>
      <c r="E24" s="53"/>
      <c r="F24" s="54">
        <f>SUM(F23:F23)</f>
        <v>404.4</v>
      </c>
      <c r="G24" s="54">
        <f>SUM(G23:G23)</f>
        <v>361</v>
      </c>
      <c r="H24" s="54">
        <f>SUM(H23:H23)</f>
        <v>43.8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>
        <f>SUM(W23:W23)</f>
        <v>1861615.45</v>
      </c>
      <c r="X24" s="52"/>
      <c r="Y24" s="52">
        <v>0</v>
      </c>
      <c r="Z24" s="52">
        <v>0</v>
      </c>
      <c r="AA24" s="52">
        <v>0</v>
      </c>
      <c r="AB24" s="54">
        <f>W24-(Y24+Z24+AA24)</f>
        <v>1861615.45</v>
      </c>
    </row>
    <row r="25" spans="1:28" s="31" customFormat="1" ht="52.5" customHeight="1" x14ac:dyDescent="0.35">
      <c r="A25" s="31">
        <v>2018</v>
      </c>
      <c r="B25" s="53" t="str">
        <f>IF(OR(E25=0,E25=""),"",COUNTA($E$21:E25))</f>
        <v/>
      </c>
      <c r="C25" s="53"/>
      <c r="D25" s="57" t="s">
        <v>40</v>
      </c>
      <c r="E25" s="57"/>
      <c r="F25" s="54"/>
      <c r="G25" s="54"/>
      <c r="H25" s="54"/>
      <c r="I25" s="54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59"/>
      <c r="Z25" s="59"/>
      <c r="AA25" s="59"/>
      <c r="AB25" s="54"/>
    </row>
    <row r="26" spans="1:28" s="31" customFormat="1" ht="52.5" customHeight="1" x14ac:dyDescent="0.35">
      <c r="A26" s="31">
        <v>2018</v>
      </c>
      <c r="B26" s="53">
        <f>IF(OR(E26=0,E26=""),"",COUNTA($E$21:E26))</f>
        <v>2</v>
      </c>
      <c r="C26" s="53" t="s">
        <v>102</v>
      </c>
      <c r="D26" s="58" t="s">
        <v>581</v>
      </c>
      <c r="E26" s="59">
        <v>1961</v>
      </c>
      <c r="F26" s="59">
        <v>397.6</v>
      </c>
      <c r="G26" s="59">
        <v>365.4</v>
      </c>
      <c r="H26" s="59">
        <v>32.200000000000003</v>
      </c>
      <c r="I26" s="60" t="s">
        <v>35</v>
      </c>
      <c r="J26" s="60">
        <f>431*F26</f>
        <v>171365.6</v>
      </c>
      <c r="K26" s="60"/>
      <c r="L26" s="60"/>
      <c r="M26" s="60"/>
      <c r="N26" s="60"/>
      <c r="O26" s="60"/>
      <c r="P26" s="60">
        <f t="shared" ref="P26:P27" si="1">2013*F26</f>
        <v>800368.8</v>
      </c>
      <c r="Q26" s="60"/>
      <c r="R26" s="60">
        <f t="shared" ref="R26:R27" si="2">1657*F26</f>
        <v>658823.19999999995</v>
      </c>
      <c r="S26" s="60">
        <f t="shared" ref="S26:S27" si="3">134*F26</f>
        <v>53278.400000000001</v>
      </c>
      <c r="T26" s="60"/>
      <c r="U26" s="60">
        <f t="shared" ref="U26:U27" si="4">50*F26</f>
        <v>19880</v>
      </c>
      <c r="V26" s="61">
        <f>(J26+K26+L26+M26+N26+O26+P26+Q26+R26+S26+T26)*0.0214</f>
        <v>36034.089999999997</v>
      </c>
      <c r="W26" s="62">
        <f>V26+U26+T26+S26+R26+Q26+P26+O26+N26+M26+L26+K26+J26</f>
        <v>1739750.09</v>
      </c>
      <c r="X26" s="60" t="s">
        <v>17</v>
      </c>
      <c r="Y26" s="59">
        <v>0</v>
      </c>
      <c r="Z26" s="59">
        <v>0</v>
      </c>
      <c r="AA26" s="59">
        <v>0</v>
      </c>
      <c r="AB26" s="56">
        <f>W26-(Y26+Z26+AA26)</f>
        <v>1739750.09</v>
      </c>
    </row>
    <row r="27" spans="1:28" s="31" customFormat="1" ht="52.5" customHeight="1" x14ac:dyDescent="0.35">
      <c r="A27" s="31">
        <v>2018</v>
      </c>
      <c r="B27" s="53">
        <f>IF(OR(E27=0,E27=""),"",COUNTA($E$21:E27))</f>
        <v>3</v>
      </c>
      <c r="C27" s="53" t="s">
        <v>104</v>
      </c>
      <c r="D27" s="58" t="s">
        <v>582</v>
      </c>
      <c r="E27" s="59">
        <v>1963</v>
      </c>
      <c r="F27" s="60">
        <v>479.3</v>
      </c>
      <c r="G27" s="60">
        <v>403.4</v>
      </c>
      <c r="H27" s="60">
        <v>0</v>
      </c>
      <c r="I27" s="60" t="s">
        <v>35</v>
      </c>
      <c r="J27" s="60"/>
      <c r="K27" s="60"/>
      <c r="L27" s="60"/>
      <c r="M27" s="60"/>
      <c r="N27" s="60"/>
      <c r="O27" s="60"/>
      <c r="P27" s="60">
        <f t="shared" si="1"/>
        <v>964830.9</v>
      </c>
      <c r="Q27" s="60"/>
      <c r="R27" s="60">
        <f t="shared" si="2"/>
        <v>794200.1</v>
      </c>
      <c r="S27" s="60">
        <f t="shared" si="3"/>
        <v>64226.2</v>
      </c>
      <c r="T27" s="60"/>
      <c r="U27" s="60">
        <f t="shared" si="4"/>
        <v>23965</v>
      </c>
      <c r="V27" s="60"/>
      <c r="W27" s="62">
        <f>V27+U27+T27+S27+R27+Q27+P27+O27+N27+M27+L27+K27+J27</f>
        <v>1847222.2</v>
      </c>
      <c r="X27" s="60" t="s">
        <v>17</v>
      </c>
      <c r="Y27" s="59">
        <v>0</v>
      </c>
      <c r="Z27" s="59">
        <v>0</v>
      </c>
      <c r="AA27" s="59">
        <v>0</v>
      </c>
      <c r="AB27" s="54">
        <f>W27-(Y27+Z27+AA27)</f>
        <v>1847222.2</v>
      </c>
    </row>
    <row r="28" spans="1:28" s="31" customFormat="1" ht="52.5" customHeight="1" x14ac:dyDescent="0.35">
      <c r="A28" s="31">
        <v>2018</v>
      </c>
      <c r="B28" s="53" t="str">
        <f>IF(OR(E28=0,E28=""),"",COUNTA($E$21:E28))</f>
        <v/>
      </c>
      <c r="C28" s="53"/>
      <c r="D28" s="58"/>
      <c r="E28" s="59"/>
      <c r="F28" s="54">
        <f>SUM(F26:F27)</f>
        <v>876.9</v>
      </c>
      <c r="G28" s="54">
        <f>SUM(G25:G27)</f>
        <v>768.8</v>
      </c>
      <c r="H28" s="54">
        <f>SUM(H25:H27)</f>
        <v>32.200000000000003</v>
      </c>
      <c r="I28" s="54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56">
        <f>SUM(W26:W27)</f>
        <v>3586972.29</v>
      </c>
      <c r="X28" s="60"/>
      <c r="Y28" s="52">
        <v>0</v>
      </c>
      <c r="Z28" s="52">
        <v>0</v>
      </c>
      <c r="AA28" s="52">
        <v>0</v>
      </c>
      <c r="AB28" s="54">
        <f>W28-(Y28+Z28+AA28)</f>
        <v>3586972.29</v>
      </c>
    </row>
    <row r="29" spans="1:28" s="31" customFormat="1" ht="52.5" customHeight="1" x14ac:dyDescent="0.35">
      <c r="B29" s="53" t="str">
        <f>IF(OR(E29=0,E29=""),"",COUNTA($E$21:E29))</f>
        <v/>
      </c>
      <c r="C29" s="53"/>
      <c r="D29" s="57" t="s">
        <v>1065</v>
      </c>
      <c r="E29" s="59"/>
      <c r="F29" s="54"/>
      <c r="G29" s="54"/>
      <c r="H29" s="54"/>
      <c r="I29" s="54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56"/>
      <c r="X29" s="60"/>
      <c r="Y29" s="53"/>
      <c r="Z29" s="53"/>
      <c r="AA29" s="53"/>
      <c r="AB29" s="54"/>
    </row>
    <row r="30" spans="1:28" s="31" customFormat="1" ht="52.5" customHeight="1" x14ac:dyDescent="0.35">
      <c r="B30" s="53">
        <f>IF(OR(E30=0,E30=""),"",COUNTA($E$21:E30))</f>
        <v>4</v>
      </c>
      <c r="C30" s="53" t="s">
        <v>100</v>
      </c>
      <c r="D30" s="58" t="s">
        <v>583</v>
      </c>
      <c r="E30" s="59">
        <v>1939</v>
      </c>
      <c r="F30" s="60">
        <v>777.6</v>
      </c>
      <c r="G30" s="60">
        <v>461.3</v>
      </c>
      <c r="H30" s="60">
        <v>0</v>
      </c>
      <c r="I30" s="60" t="s">
        <v>39</v>
      </c>
      <c r="J30" s="60"/>
      <c r="K30" s="60"/>
      <c r="L30" s="60"/>
      <c r="M30" s="60">
        <f>320*F30</f>
        <v>248832</v>
      </c>
      <c r="N30" s="60">
        <f>190*F30</f>
        <v>147744</v>
      </c>
      <c r="O30" s="60"/>
      <c r="P30" s="60">
        <f>3100*F30</f>
        <v>2410560</v>
      </c>
      <c r="Q30" s="60"/>
      <c r="R30" s="60">
        <f>2450*F30</f>
        <v>1905120</v>
      </c>
      <c r="S30" s="60">
        <f>195*F30</f>
        <v>151632</v>
      </c>
      <c r="T30" s="60"/>
      <c r="U30" s="60">
        <f>804*F30</f>
        <v>625190.40000000002</v>
      </c>
      <c r="V30" s="60">
        <f t="shared" ref="V30" si="5">(J30+K30+L30+M30+N30+O30+P30+Q30+R30+S30+T30)*0.0214</f>
        <v>104087.2</v>
      </c>
      <c r="W30" s="62">
        <f t="shared" ref="W30" si="6">V30+U30+T30+S30+R30+Q30+P30+O30+N30+M30+L30+K30+J30</f>
        <v>5593165.5999999996</v>
      </c>
      <c r="X30" s="60" t="s">
        <v>17</v>
      </c>
      <c r="Y30" s="59">
        <v>0</v>
      </c>
      <c r="Z30" s="59">
        <v>0</v>
      </c>
      <c r="AA30" s="59">
        <v>0</v>
      </c>
      <c r="AB30" s="54">
        <f t="shared" ref="AB30" si="7">W30-(Y30+Z30+AA30)</f>
        <v>5593165.5999999996</v>
      </c>
    </row>
    <row r="31" spans="1:28" s="31" customFormat="1" ht="52.5" customHeight="1" x14ac:dyDescent="0.35">
      <c r="A31" s="31">
        <v>2018</v>
      </c>
      <c r="B31" s="53" t="str">
        <f>IF(OR(E31=0,E31=""),"",COUNTA($E$21:E31))</f>
        <v/>
      </c>
      <c r="C31" s="53"/>
      <c r="D31" s="58"/>
      <c r="E31" s="59"/>
      <c r="F31" s="54">
        <f>SUM(F30:F30)</f>
        <v>777.6</v>
      </c>
      <c r="G31" s="54">
        <f>SUM(G30:G30)</f>
        <v>461.3</v>
      </c>
      <c r="H31" s="54">
        <f>SUM(H30:H30)</f>
        <v>0</v>
      </c>
      <c r="I31" s="54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54">
        <f>SUM(W30:W30)</f>
        <v>5593165.5999999996</v>
      </c>
      <c r="X31" s="60"/>
      <c r="Y31" s="52">
        <v>0</v>
      </c>
      <c r="Z31" s="52">
        <v>0</v>
      </c>
      <c r="AA31" s="52">
        <v>0</v>
      </c>
      <c r="AB31" s="54">
        <f>W31-(Y31+Z31+AA31)</f>
        <v>5593165.5999999996</v>
      </c>
    </row>
    <row r="32" spans="1:28" s="31" customFormat="1" ht="52.5" customHeight="1" x14ac:dyDescent="0.35">
      <c r="A32" s="31">
        <v>2018</v>
      </c>
      <c r="B32" s="53" t="str">
        <f>IF(OR(E32=0,E32=""),"",COUNTA($E$21:E32))</f>
        <v/>
      </c>
      <c r="C32" s="53"/>
      <c r="D32" s="57" t="s">
        <v>24</v>
      </c>
      <c r="E32" s="53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56"/>
      <c r="X32" s="52"/>
      <c r="Y32" s="52"/>
      <c r="Z32" s="52"/>
      <c r="AA32" s="52"/>
      <c r="AB32" s="56"/>
    </row>
    <row r="33" spans="1:28" s="31" customFormat="1" ht="52.5" customHeight="1" x14ac:dyDescent="0.35">
      <c r="A33" s="31">
        <v>2018</v>
      </c>
      <c r="B33" s="53">
        <f>IF(OR(E33=0,E33=""),"",COUNTA($E$21:E33))</f>
        <v>5</v>
      </c>
      <c r="C33" s="53" t="s">
        <v>109</v>
      </c>
      <c r="D33" s="58" t="s">
        <v>584</v>
      </c>
      <c r="E33" s="59">
        <v>1956</v>
      </c>
      <c r="F33" s="60">
        <v>534.79999999999995</v>
      </c>
      <c r="G33" s="60">
        <v>476.4</v>
      </c>
      <c r="H33" s="60">
        <v>0</v>
      </c>
      <c r="I33" s="60" t="s">
        <v>35</v>
      </c>
      <c r="J33" s="60">
        <f>431*F33</f>
        <v>230498.8</v>
      </c>
      <c r="K33" s="60"/>
      <c r="L33" s="60"/>
      <c r="M33" s="60"/>
      <c r="N33" s="60"/>
      <c r="O33" s="60"/>
      <c r="P33" s="60">
        <f>2013*F33</f>
        <v>1076552.3999999999</v>
      </c>
      <c r="Q33" s="60"/>
      <c r="R33" s="60">
        <f>1657*F33</f>
        <v>886163.6</v>
      </c>
      <c r="S33" s="60">
        <f>134*F33</f>
        <v>71663.199999999997</v>
      </c>
      <c r="T33" s="60"/>
      <c r="U33" s="60">
        <f>50*F33</f>
        <v>26740</v>
      </c>
      <c r="V33" s="60">
        <f>(J33+K33+L33+M33+N33+O33+P33+Q33+R33+S33+T33)*0.0214</f>
        <v>48468.39</v>
      </c>
      <c r="W33" s="62">
        <f>V33+U33+T33+S33+R33+Q33+P33+O33+N33+M33+L33+K33+J33</f>
        <v>2340086.39</v>
      </c>
      <c r="X33" s="60" t="s">
        <v>17</v>
      </c>
      <c r="Y33" s="63">
        <v>0</v>
      </c>
      <c r="Z33" s="63">
        <v>0</v>
      </c>
      <c r="AA33" s="63">
        <v>0</v>
      </c>
      <c r="AB33" s="54">
        <f>W33-(Y33+Z33+AA33)</f>
        <v>2340086.39</v>
      </c>
    </row>
    <row r="34" spans="1:28" s="31" customFormat="1" ht="52.5" customHeight="1" x14ac:dyDescent="0.35">
      <c r="A34" s="31">
        <v>2018</v>
      </c>
      <c r="B34" s="53" t="str">
        <f>IF(OR(E34=0,E34=""),"",COUNTA($E$21:E34))</f>
        <v/>
      </c>
      <c r="C34" s="53"/>
      <c r="D34" s="58"/>
      <c r="E34" s="59"/>
      <c r="F34" s="54">
        <f>SUM(F33)</f>
        <v>534.79999999999995</v>
      </c>
      <c r="G34" s="54">
        <f>SUM(G33)</f>
        <v>476.4</v>
      </c>
      <c r="H34" s="54">
        <f>SUM(H31:H33)</f>
        <v>0</v>
      </c>
      <c r="I34" s="54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54">
        <f>SUM(W33)</f>
        <v>2340086.39</v>
      </c>
      <c r="X34" s="60"/>
      <c r="Y34" s="52">
        <v>0</v>
      </c>
      <c r="Z34" s="52">
        <v>0</v>
      </c>
      <c r="AA34" s="52">
        <v>0</v>
      </c>
      <c r="AB34" s="54">
        <f>SUM(AB33)</f>
        <v>2340086.39</v>
      </c>
    </row>
    <row r="35" spans="1:28" s="31" customFormat="1" ht="52.5" customHeight="1" x14ac:dyDescent="0.35">
      <c r="A35" s="31">
        <v>2018</v>
      </c>
      <c r="B35" s="53" t="str">
        <f>IF(OR(E35=0,E35=""),"",COUNTA($E$21:E35))</f>
        <v/>
      </c>
      <c r="C35" s="53"/>
      <c r="D35" s="57" t="s">
        <v>585</v>
      </c>
      <c r="E35" s="59"/>
      <c r="F35" s="54"/>
      <c r="G35" s="54"/>
      <c r="H35" s="54"/>
      <c r="I35" s="54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56"/>
      <c r="X35" s="60"/>
      <c r="Y35" s="53"/>
      <c r="Z35" s="53"/>
      <c r="AA35" s="53"/>
      <c r="AB35" s="54"/>
    </row>
    <row r="36" spans="1:28" s="31" customFormat="1" ht="52.5" customHeight="1" x14ac:dyDescent="0.35">
      <c r="A36" s="31">
        <v>2018</v>
      </c>
      <c r="B36" s="53">
        <f>IF(OR(E36=0,E36=""),"",COUNTA($E$21:E36))</f>
        <v>6</v>
      </c>
      <c r="C36" s="53" t="s">
        <v>126</v>
      </c>
      <c r="D36" s="58" t="s">
        <v>586</v>
      </c>
      <c r="E36" s="59">
        <v>1963</v>
      </c>
      <c r="F36" s="60">
        <v>1261.0999999999999</v>
      </c>
      <c r="G36" s="60">
        <v>1261.0999999999999</v>
      </c>
      <c r="H36" s="60">
        <v>0</v>
      </c>
      <c r="I36" s="60" t="s">
        <v>36</v>
      </c>
      <c r="J36" s="60">
        <v>311420.08</v>
      </c>
      <c r="K36" s="60">
        <v>1161567.6100000001</v>
      </c>
      <c r="L36" s="60"/>
      <c r="M36" s="60">
        <v>136472.75</v>
      </c>
      <c r="N36" s="60">
        <v>94133.24</v>
      </c>
      <c r="O36" s="60"/>
      <c r="P36" s="60">
        <v>1642260.53</v>
      </c>
      <c r="Q36" s="60">
        <v>12918.77</v>
      </c>
      <c r="R36" s="60">
        <v>2634691.83</v>
      </c>
      <c r="S36" s="60">
        <v>62472.959999999999</v>
      </c>
      <c r="T36" s="60"/>
      <c r="U36" s="60">
        <f t="shared" ref="U36:U38" si="8">50*F36</f>
        <v>63055</v>
      </c>
      <c r="V36" s="61">
        <f t="shared" ref="V36:V38" si="9">(J36+K36+L36+M36+N36+O36+P36+Q36+R36+S36+T36)*0.0214</f>
        <v>129597.07</v>
      </c>
      <c r="W36" s="62">
        <f>V36+U36+T36+S36+R36+Q36+P36+O36+N36+M36+L36+K36+J36</f>
        <v>6248589.8399999999</v>
      </c>
      <c r="X36" s="60" t="s">
        <v>17</v>
      </c>
      <c r="Y36" s="59">
        <v>0</v>
      </c>
      <c r="Z36" s="59">
        <v>0</v>
      </c>
      <c r="AA36" s="59">
        <v>0</v>
      </c>
      <c r="AB36" s="54">
        <f>W36-(Y36+Z36+AA36)</f>
        <v>6248589.8399999999</v>
      </c>
    </row>
    <row r="37" spans="1:28" s="31" customFormat="1" ht="52.5" customHeight="1" x14ac:dyDescent="0.35">
      <c r="A37" s="31">
        <v>2018</v>
      </c>
      <c r="B37" s="53">
        <f>IF(OR(E37=0,E37=""),"",COUNTA($E$21:E37))</f>
        <v>7</v>
      </c>
      <c r="C37" s="53" t="s">
        <v>128</v>
      </c>
      <c r="D37" s="58" t="s">
        <v>587</v>
      </c>
      <c r="E37" s="59">
        <v>1964</v>
      </c>
      <c r="F37" s="60">
        <v>1699.6</v>
      </c>
      <c r="G37" s="60">
        <v>1699.6</v>
      </c>
      <c r="H37" s="60">
        <v>0</v>
      </c>
      <c r="I37" s="60" t="s">
        <v>33</v>
      </c>
      <c r="J37" s="60">
        <f t="shared" ref="J37:J38" si="10">391*F37</f>
        <v>664543.6</v>
      </c>
      <c r="K37" s="60">
        <f t="shared" ref="K37:K38" si="11">815*F37</f>
        <v>1385174</v>
      </c>
      <c r="L37" s="60"/>
      <c r="M37" s="60">
        <f t="shared" ref="M37:M38" si="12">326*F37</f>
        <v>554069.6</v>
      </c>
      <c r="N37" s="60">
        <f t="shared" ref="N37:N38" si="13">194*F37</f>
        <v>329722.40000000002</v>
      </c>
      <c r="O37" s="60"/>
      <c r="P37" s="60">
        <f t="shared" ref="P37:P38" si="14">1679*F37</f>
        <v>2853628.4</v>
      </c>
      <c r="Q37" s="60">
        <f t="shared" ref="Q37:Q38" si="15">133*F37</f>
        <v>226046.8</v>
      </c>
      <c r="R37" s="60">
        <f t="shared" ref="R37:R38" si="16">1525*F37</f>
        <v>2591890</v>
      </c>
      <c r="S37" s="60">
        <f t="shared" ref="S37:S38" si="17">171*F37</f>
        <v>290631.59999999998</v>
      </c>
      <c r="T37" s="60"/>
      <c r="U37" s="60">
        <f t="shared" si="8"/>
        <v>84980</v>
      </c>
      <c r="V37" s="61">
        <f t="shared" si="9"/>
        <v>190368.12</v>
      </c>
      <c r="W37" s="62">
        <f>V37+U37+T37+S37+R37+Q37+P37+O37+N37+M37+L37+K37+J37</f>
        <v>9171054.5199999996</v>
      </c>
      <c r="X37" s="60" t="s">
        <v>17</v>
      </c>
      <c r="Y37" s="59">
        <v>0</v>
      </c>
      <c r="Z37" s="59">
        <v>0</v>
      </c>
      <c r="AA37" s="59">
        <v>0</v>
      </c>
      <c r="AB37" s="54">
        <f>W37-(Y37+Z37+AA37)</f>
        <v>9171054.5199999996</v>
      </c>
    </row>
    <row r="38" spans="1:28" s="31" customFormat="1" ht="52.5" customHeight="1" x14ac:dyDescent="0.35">
      <c r="A38" s="31">
        <v>2018</v>
      </c>
      <c r="B38" s="53">
        <f>IF(OR(E38=0,E38=""),"",COUNTA($E$21:E38))</f>
        <v>8</v>
      </c>
      <c r="C38" s="53" t="s">
        <v>145</v>
      </c>
      <c r="D38" s="58" t="s">
        <v>588</v>
      </c>
      <c r="E38" s="59">
        <v>1964</v>
      </c>
      <c r="F38" s="60">
        <v>1549.3</v>
      </c>
      <c r="G38" s="60">
        <v>1549.3</v>
      </c>
      <c r="H38" s="60">
        <v>0</v>
      </c>
      <c r="I38" s="60" t="s">
        <v>33</v>
      </c>
      <c r="J38" s="60">
        <f t="shared" si="10"/>
        <v>605776.30000000005</v>
      </c>
      <c r="K38" s="60">
        <f t="shared" si="11"/>
        <v>1262679.5</v>
      </c>
      <c r="L38" s="60"/>
      <c r="M38" s="60">
        <f t="shared" si="12"/>
        <v>505071.8</v>
      </c>
      <c r="N38" s="60">
        <f t="shared" si="13"/>
        <v>300564.2</v>
      </c>
      <c r="O38" s="60"/>
      <c r="P38" s="60">
        <f t="shared" si="14"/>
        <v>2601274.7000000002</v>
      </c>
      <c r="Q38" s="60">
        <f t="shared" si="15"/>
        <v>206056.9</v>
      </c>
      <c r="R38" s="60">
        <f t="shared" si="16"/>
        <v>2362682.5</v>
      </c>
      <c r="S38" s="60">
        <f t="shared" si="17"/>
        <v>264930.3</v>
      </c>
      <c r="T38" s="60"/>
      <c r="U38" s="60">
        <f t="shared" si="8"/>
        <v>77465</v>
      </c>
      <c r="V38" s="61">
        <f t="shared" si="9"/>
        <v>173533.37</v>
      </c>
      <c r="W38" s="62">
        <f>V38+U38+T38+S38+R38+Q38+P38+O38+N38+M38+L38+K38+J38</f>
        <v>8360034.5700000003</v>
      </c>
      <c r="X38" s="60" t="s">
        <v>17</v>
      </c>
      <c r="Y38" s="59">
        <v>0</v>
      </c>
      <c r="Z38" s="59">
        <v>0</v>
      </c>
      <c r="AA38" s="59">
        <v>0</v>
      </c>
      <c r="AB38" s="54">
        <f>W38-(Y38+Z38+AA38)</f>
        <v>8360034.5700000003</v>
      </c>
    </row>
    <row r="39" spans="1:28" s="31" customFormat="1" ht="52.5" customHeight="1" x14ac:dyDescent="0.35">
      <c r="A39" s="31">
        <v>2018</v>
      </c>
      <c r="B39" s="53" t="str">
        <f>IF(OR(E39=0,E39=""),"",COUNTA($E$21:E39))</f>
        <v/>
      </c>
      <c r="C39" s="53"/>
      <c r="D39" s="58"/>
      <c r="E39" s="59"/>
      <c r="F39" s="54">
        <f>SUM(F36:F38)</f>
        <v>4510</v>
      </c>
      <c r="G39" s="54">
        <f>SUM(G36:G38)</f>
        <v>4510</v>
      </c>
      <c r="H39" s="60">
        <v>0</v>
      </c>
      <c r="I39" s="54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56">
        <f>SUM(W36:W38)</f>
        <v>23779678.93</v>
      </c>
      <c r="X39" s="60"/>
      <c r="Y39" s="52">
        <v>0</v>
      </c>
      <c r="Z39" s="52">
        <v>0</v>
      </c>
      <c r="AA39" s="52">
        <v>0</v>
      </c>
      <c r="AB39" s="54">
        <f>SUM(AB36:AB38)</f>
        <v>23779678.93</v>
      </c>
    </row>
    <row r="40" spans="1:28" s="33" customFormat="1" ht="52.5" customHeight="1" x14ac:dyDescent="0.35">
      <c r="A40" s="31">
        <v>2018</v>
      </c>
      <c r="B40" s="53" t="str">
        <f>IF(OR(E40=0,E40=""),"",COUNTA($E$21:E40))</f>
        <v/>
      </c>
      <c r="C40" s="53"/>
      <c r="D40" s="57" t="s">
        <v>51</v>
      </c>
      <c r="E40" s="57"/>
      <c r="F40" s="54"/>
      <c r="G40" s="54"/>
      <c r="H40" s="54"/>
      <c r="I40" s="54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54"/>
      <c r="X40" s="60"/>
      <c r="Y40" s="53"/>
      <c r="Z40" s="53"/>
      <c r="AA40" s="53"/>
      <c r="AB40" s="54"/>
    </row>
    <row r="41" spans="1:28" s="31" customFormat="1" ht="52.5" customHeight="1" x14ac:dyDescent="0.35">
      <c r="A41" s="31">
        <v>2018</v>
      </c>
      <c r="B41" s="53">
        <f>IF(OR(E41=0,E41=""),"",COUNTA($E$21:E41))</f>
        <v>9</v>
      </c>
      <c r="C41" s="53" t="s">
        <v>156</v>
      </c>
      <c r="D41" s="58" t="s">
        <v>589</v>
      </c>
      <c r="E41" s="59">
        <v>1936</v>
      </c>
      <c r="F41" s="60">
        <v>572.29999999999995</v>
      </c>
      <c r="G41" s="60">
        <v>425.2</v>
      </c>
      <c r="H41" s="60">
        <v>0</v>
      </c>
      <c r="I41" s="60" t="s">
        <v>35</v>
      </c>
      <c r="J41" s="60">
        <f t="shared" ref="J41:J42" si="18">431*F41</f>
        <v>246661.3</v>
      </c>
      <c r="K41" s="60"/>
      <c r="L41" s="60"/>
      <c r="M41" s="60"/>
      <c r="N41" s="60"/>
      <c r="O41" s="60"/>
      <c r="P41" s="60">
        <f t="shared" ref="P41:P48" si="19">2013*F41</f>
        <v>1152039.8999999999</v>
      </c>
      <c r="Q41" s="60"/>
      <c r="R41" s="60">
        <f t="shared" ref="R41:R42" si="20">1657*F41</f>
        <v>948301.1</v>
      </c>
      <c r="S41" s="60"/>
      <c r="T41" s="60"/>
      <c r="U41" s="60">
        <f t="shared" ref="U41:U48" si="21">50*F41</f>
        <v>28615</v>
      </c>
      <c r="V41" s="60">
        <f t="shared" ref="V41:V47" si="22">(J41+K41+L41+M41+N41+O41+P41+Q41+R41+S41+T41)*0.0214</f>
        <v>50225.85</v>
      </c>
      <c r="W41" s="62">
        <f t="shared" ref="W41:W48" si="23">V41+U41+T41+S41+R41+Q41+P41+O41+N41+M41+L41+K41+J41</f>
        <v>2425843.15</v>
      </c>
      <c r="X41" s="60" t="s">
        <v>17</v>
      </c>
      <c r="Y41" s="59">
        <v>0</v>
      </c>
      <c r="Z41" s="59">
        <v>0</v>
      </c>
      <c r="AA41" s="59">
        <v>0</v>
      </c>
      <c r="AB41" s="54">
        <f t="shared" ref="AB41:AB49" si="24">W41-(Y41+Z41+AA41)</f>
        <v>2425843.15</v>
      </c>
    </row>
    <row r="42" spans="1:28" s="31" customFormat="1" ht="52.5" customHeight="1" x14ac:dyDescent="0.35">
      <c r="A42" s="31">
        <v>2018</v>
      </c>
      <c r="B42" s="53">
        <f>IF(OR(E42=0,E42=""),"",COUNTA($E$21:E42))</f>
        <v>10</v>
      </c>
      <c r="C42" s="53" t="s">
        <v>157</v>
      </c>
      <c r="D42" s="58" t="s">
        <v>590</v>
      </c>
      <c r="E42" s="59">
        <v>1955</v>
      </c>
      <c r="F42" s="60">
        <v>400.8</v>
      </c>
      <c r="G42" s="60">
        <v>273</v>
      </c>
      <c r="H42" s="60">
        <v>0</v>
      </c>
      <c r="I42" s="60" t="s">
        <v>35</v>
      </c>
      <c r="J42" s="60">
        <f t="shared" si="18"/>
        <v>172744.8</v>
      </c>
      <c r="K42" s="60"/>
      <c r="L42" s="60"/>
      <c r="M42" s="60"/>
      <c r="N42" s="60"/>
      <c r="O42" s="60"/>
      <c r="P42" s="60">
        <f t="shared" si="19"/>
        <v>806810.4</v>
      </c>
      <c r="Q42" s="60"/>
      <c r="R42" s="60">
        <f t="shared" si="20"/>
        <v>664125.6</v>
      </c>
      <c r="S42" s="60">
        <f t="shared" ref="S42" si="25">134*F42</f>
        <v>53707.199999999997</v>
      </c>
      <c r="T42" s="60"/>
      <c r="U42" s="60">
        <f t="shared" si="21"/>
        <v>20040</v>
      </c>
      <c r="V42" s="60">
        <f t="shared" si="22"/>
        <v>36324.1</v>
      </c>
      <c r="W42" s="62">
        <f t="shared" si="23"/>
        <v>1753752.1</v>
      </c>
      <c r="X42" s="60" t="s">
        <v>17</v>
      </c>
      <c r="Y42" s="59">
        <v>0</v>
      </c>
      <c r="Z42" s="59">
        <v>0</v>
      </c>
      <c r="AA42" s="59">
        <v>0</v>
      </c>
      <c r="AB42" s="54">
        <f t="shared" si="24"/>
        <v>1753752.1</v>
      </c>
    </row>
    <row r="43" spans="1:28" s="31" customFormat="1" ht="52.5" customHeight="1" x14ac:dyDescent="0.35">
      <c r="A43" s="31">
        <v>2018</v>
      </c>
      <c r="B43" s="53">
        <f>IF(OR(E43=0,E43=""),"",COUNTA($E$21:E43))</f>
        <v>11</v>
      </c>
      <c r="C43" s="53" t="s">
        <v>179</v>
      </c>
      <c r="D43" s="58" t="s">
        <v>591</v>
      </c>
      <c r="E43" s="59">
        <v>1981</v>
      </c>
      <c r="F43" s="60">
        <v>2292.7199999999998</v>
      </c>
      <c r="G43" s="51">
        <v>1284.5999999999999</v>
      </c>
      <c r="H43" s="51">
        <v>129</v>
      </c>
      <c r="I43" s="60" t="s">
        <v>34</v>
      </c>
      <c r="J43" s="60"/>
      <c r="K43" s="60"/>
      <c r="L43" s="60"/>
      <c r="M43" s="60"/>
      <c r="N43" s="60"/>
      <c r="O43" s="60"/>
      <c r="P43" s="60">
        <f t="shared" si="19"/>
        <v>4615245.3600000003</v>
      </c>
      <c r="Q43" s="60"/>
      <c r="R43" s="60"/>
      <c r="S43" s="60"/>
      <c r="T43" s="60"/>
      <c r="U43" s="60"/>
      <c r="V43" s="60"/>
      <c r="W43" s="62">
        <f t="shared" si="23"/>
        <v>4615245.3600000003</v>
      </c>
      <c r="X43" s="60" t="s">
        <v>17</v>
      </c>
      <c r="Y43" s="59">
        <v>0</v>
      </c>
      <c r="Z43" s="59">
        <v>0</v>
      </c>
      <c r="AA43" s="59">
        <v>0</v>
      </c>
      <c r="AB43" s="54">
        <f t="shared" si="24"/>
        <v>4615245.3600000003</v>
      </c>
    </row>
    <row r="44" spans="1:28" s="31" customFormat="1" ht="52.5" customHeight="1" x14ac:dyDescent="0.35">
      <c r="A44" s="31">
        <v>2018</v>
      </c>
      <c r="B44" s="53">
        <f>IF(OR(E44=0,E44=""),"",COUNTA($E$21:E44))</f>
        <v>12</v>
      </c>
      <c r="C44" s="53" t="s">
        <v>177</v>
      </c>
      <c r="D44" s="58" t="s">
        <v>592</v>
      </c>
      <c r="E44" s="58">
        <v>1981</v>
      </c>
      <c r="F44" s="60">
        <v>2717.1</v>
      </c>
      <c r="G44" s="60">
        <v>1902.9</v>
      </c>
      <c r="H44" s="60">
        <v>0</v>
      </c>
      <c r="I44" s="60" t="s">
        <v>34</v>
      </c>
      <c r="J44" s="60"/>
      <c r="K44" s="60"/>
      <c r="L44" s="60"/>
      <c r="M44" s="60"/>
      <c r="N44" s="60"/>
      <c r="O44" s="60"/>
      <c r="P44" s="60">
        <f t="shared" si="19"/>
        <v>5469522.2999999998</v>
      </c>
      <c r="Q44" s="60"/>
      <c r="R44" s="60"/>
      <c r="S44" s="60"/>
      <c r="T44" s="60"/>
      <c r="U44" s="60">
        <f t="shared" si="21"/>
        <v>135855</v>
      </c>
      <c r="V44" s="60">
        <f t="shared" si="22"/>
        <v>117047.78</v>
      </c>
      <c r="W44" s="62">
        <f t="shared" si="23"/>
        <v>5722425.0800000001</v>
      </c>
      <c r="X44" s="60" t="s">
        <v>17</v>
      </c>
      <c r="Y44" s="59">
        <v>0</v>
      </c>
      <c r="Z44" s="59">
        <v>0</v>
      </c>
      <c r="AA44" s="59">
        <v>0</v>
      </c>
      <c r="AB44" s="54">
        <f t="shared" si="24"/>
        <v>5722425.0800000001</v>
      </c>
    </row>
    <row r="45" spans="1:28" s="31" customFormat="1" ht="52.5" customHeight="1" x14ac:dyDescent="0.35">
      <c r="A45" s="31">
        <v>2018</v>
      </c>
      <c r="B45" s="53">
        <f>IF(OR(E45=0,E45=""),"",COUNTA($E$21:E45))</f>
        <v>13</v>
      </c>
      <c r="C45" s="53" t="s">
        <v>178</v>
      </c>
      <c r="D45" s="58" t="s">
        <v>593</v>
      </c>
      <c r="E45" s="58">
        <v>1981</v>
      </c>
      <c r="F45" s="60">
        <v>2717.1</v>
      </c>
      <c r="G45" s="60">
        <v>1902.9</v>
      </c>
      <c r="H45" s="60">
        <v>0</v>
      </c>
      <c r="I45" s="60" t="s">
        <v>34</v>
      </c>
      <c r="J45" s="60"/>
      <c r="K45" s="60"/>
      <c r="L45" s="60"/>
      <c r="M45" s="60"/>
      <c r="N45" s="60"/>
      <c r="O45" s="60"/>
      <c r="P45" s="60">
        <f t="shared" si="19"/>
        <v>5469522.2999999998</v>
      </c>
      <c r="Q45" s="60"/>
      <c r="R45" s="60"/>
      <c r="S45" s="60"/>
      <c r="T45" s="60"/>
      <c r="U45" s="60">
        <f t="shared" si="21"/>
        <v>135855</v>
      </c>
      <c r="V45" s="60">
        <f t="shared" si="22"/>
        <v>117047.78</v>
      </c>
      <c r="W45" s="62">
        <f t="shared" si="23"/>
        <v>5722425.0800000001</v>
      </c>
      <c r="X45" s="60" t="s">
        <v>17</v>
      </c>
      <c r="Y45" s="59">
        <v>0</v>
      </c>
      <c r="Z45" s="59">
        <v>0</v>
      </c>
      <c r="AA45" s="59">
        <v>0</v>
      </c>
      <c r="AB45" s="54">
        <f t="shared" si="24"/>
        <v>5722425.0800000001</v>
      </c>
    </row>
    <row r="46" spans="1:28" s="31" customFormat="1" ht="52.5" customHeight="1" x14ac:dyDescent="0.35">
      <c r="A46" s="31">
        <v>2018</v>
      </c>
      <c r="B46" s="53">
        <f>IF(OR(E46=0,E46=""),"",COUNTA($E$21:E46))</f>
        <v>14</v>
      </c>
      <c r="C46" s="53" t="s">
        <v>172</v>
      </c>
      <c r="D46" s="58" t="s">
        <v>594</v>
      </c>
      <c r="E46" s="58">
        <v>1988</v>
      </c>
      <c r="F46" s="60">
        <v>2734.6</v>
      </c>
      <c r="G46" s="60">
        <v>1942.8</v>
      </c>
      <c r="H46" s="60">
        <v>0</v>
      </c>
      <c r="I46" s="60" t="s">
        <v>34</v>
      </c>
      <c r="J46" s="60"/>
      <c r="K46" s="60"/>
      <c r="L46" s="60"/>
      <c r="M46" s="60"/>
      <c r="N46" s="60"/>
      <c r="O46" s="60"/>
      <c r="P46" s="60">
        <f t="shared" si="19"/>
        <v>5504749.7999999998</v>
      </c>
      <c r="Q46" s="60"/>
      <c r="R46" s="60"/>
      <c r="S46" s="60"/>
      <c r="T46" s="60"/>
      <c r="U46" s="60">
        <f t="shared" si="21"/>
        <v>136730</v>
      </c>
      <c r="V46" s="60">
        <f t="shared" si="22"/>
        <v>117801.65</v>
      </c>
      <c r="W46" s="62">
        <f t="shared" si="23"/>
        <v>5759281.4500000002</v>
      </c>
      <c r="X46" s="60" t="s">
        <v>17</v>
      </c>
      <c r="Y46" s="59">
        <v>0</v>
      </c>
      <c r="Z46" s="59">
        <v>0</v>
      </c>
      <c r="AA46" s="59">
        <v>0</v>
      </c>
      <c r="AB46" s="54">
        <f t="shared" si="24"/>
        <v>5759281.4500000002</v>
      </c>
    </row>
    <row r="47" spans="1:28" s="31" customFormat="1" ht="52.5" customHeight="1" x14ac:dyDescent="0.35">
      <c r="A47" s="31">
        <v>2018</v>
      </c>
      <c r="B47" s="53">
        <f>IF(OR(E47=0,E47=""),"",COUNTA($E$21:E47))</f>
        <v>15</v>
      </c>
      <c r="C47" s="53" t="s">
        <v>173</v>
      </c>
      <c r="D47" s="58" t="s">
        <v>595</v>
      </c>
      <c r="E47" s="58">
        <v>1988</v>
      </c>
      <c r="F47" s="60">
        <v>2595.4</v>
      </c>
      <c r="G47" s="60">
        <v>2513.4</v>
      </c>
      <c r="H47" s="60">
        <v>53.4</v>
      </c>
      <c r="I47" s="60" t="s">
        <v>34</v>
      </c>
      <c r="J47" s="60"/>
      <c r="K47" s="60"/>
      <c r="L47" s="60"/>
      <c r="M47" s="60"/>
      <c r="N47" s="60"/>
      <c r="O47" s="60"/>
      <c r="P47" s="60">
        <f t="shared" si="19"/>
        <v>5224540.2</v>
      </c>
      <c r="Q47" s="60"/>
      <c r="R47" s="60"/>
      <c r="S47" s="60"/>
      <c r="T47" s="60"/>
      <c r="U47" s="60">
        <f t="shared" si="21"/>
        <v>129770</v>
      </c>
      <c r="V47" s="60">
        <f t="shared" si="22"/>
        <v>111805.16</v>
      </c>
      <c r="W47" s="62">
        <f t="shared" si="23"/>
        <v>5466115.3600000003</v>
      </c>
      <c r="X47" s="60" t="s">
        <v>17</v>
      </c>
      <c r="Y47" s="59">
        <v>0</v>
      </c>
      <c r="Z47" s="59">
        <v>0</v>
      </c>
      <c r="AA47" s="59">
        <v>0</v>
      </c>
      <c r="AB47" s="54">
        <f t="shared" si="24"/>
        <v>5466115.3600000003</v>
      </c>
    </row>
    <row r="48" spans="1:28" s="31" customFormat="1" ht="52.5" customHeight="1" x14ac:dyDescent="0.35">
      <c r="A48" s="31">
        <v>2018</v>
      </c>
      <c r="B48" s="53">
        <f>IF(OR(E48=0,E48=""),"",COUNTA($E$21:E48))</f>
        <v>16</v>
      </c>
      <c r="C48" s="53" t="s">
        <v>1068</v>
      </c>
      <c r="D48" s="58" t="s">
        <v>596</v>
      </c>
      <c r="E48" s="58">
        <v>1982</v>
      </c>
      <c r="F48" s="60">
        <v>2279.16</v>
      </c>
      <c r="G48" s="60">
        <v>1542</v>
      </c>
      <c r="H48" s="60">
        <v>0</v>
      </c>
      <c r="I48" s="60" t="s">
        <v>34</v>
      </c>
      <c r="J48" s="60"/>
      <c r="K48" s="60"/>
      <c r="L48" s="60"/>
      <c r="M48" s="60"/>
      <c r="N48" s="60"/>
      <c r="O48" s="60"/>
      <c r="P48" s="60">
        <f t="shared" si="19"/>
        <v>4587949.08</v>
      </c>
      <c r="Q48" s="60"/>
      <c r="R48" s="60"/>
      <c r="S48" s="60"/>
      <c r="T48" s="60"/>
      <c r="U48" s="60">
        <f t="shared" si="21"/>
        <v>113958</v>
      </c>
      <c r="V48" s="60"/>
      <c r="W48" s="62">
        <f t="shared" si="23"/>
        <v>4701907.08</v>
      </c>
      <c r="X48" s="60" t="s">
        <v>17</v>
      </c>
      <c r="Y48" s="59">
        <v>0</v>
      </c>
      <c r="Z48" s="59">
        <v>0</v>
      </c>
      <c r="AA48" s="59">
        <v>0</v>
      </c>
      <c r="AB48" s="54">
        <f t="shared" si="24"/>
        <v>4701907.08</v>
      </c>
    </row>
    <row r="49" spans="1:28" s="31" customFormat="1" ht="52.5" customHeight="1" x14ac:dyDescent="0.35">
      <c r="A49" s="31">
        <v>2018</v>
      </c>
      <c r="B49" s="53" t="str">
        <f>IF(OR(E49=0,E49=""),"",COUNTA($E$21:E49))</f>
        <v/>
      </c>
      <c r="C49" s="53"/>
      <c r="D49" s="58"/>
      <c r="E49" s="59"/>
      <c r="F49" s="54">
        <f>SUM(F41:F48)</f>
        <v>16309.18</v>
      </c>
      <c r="G49" s="54">
        <f>SUM(G41:G48)</f>
        <v>11786.8</v>
      </c>
      <c r="H49" s="54">
        <f>SUM(H41:H48)</f>
        <v>182.4</v>
      </c>
      <c r="I49" s="54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54">
        <f>SUM(W41:W48)</f>
        <v>36166994.659999996</v>
      </c>
      <c r="X49" s="60"/>
      <c r="Y49" s="52">
        <v>0</v>
      </c>
      <c r="Z49" s="52">
        <v>0</v>
      </c>
      <c r="AA49" s="52">
        <v>0</v>
      </c>
      <c r="AB49" s="54">
        <f t="shared" si="24"/>
        <v>36166994.659999996</v>
      </c>
    </row>
    <row r="50" spans="1:28" s="31" customFormat="1" ht="52.5" customHeight="1" x14ac:dyDescent="0.35">
      <c r="A50" s="31">
        <v>2018</v>
      </c>
      <c r="B50" s="53" t="str">
        <f>IF(OR(E50=0,E50=""),"",COUNTA($E$21:E50))</f>
        <v/>
      </c>
      <c r="C50" s="53"/>
      <c r="D50" s="57" t="s">
        <v>91</v>
      </c>
      <c r="E50" s="57"/>
      <c r="F50" s="54"/>
      <c r="G50" s="54"/>
      <c r="H50" s="54"/>
      <c r="I50" s="54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59"/>
      <c r="Z50" s="59"/>
      <c r="AA50" s="59"/>
      <c r="AB50" s="54"/>
    </row>
    <row r="51" spans="1:28" s="31" customFormat="1" ht="52.5" customHeight="1" x14ac:dyDescent="0.35">
      <c r="A51" s="31">
        <v>2018</v>
      </c>
      <c r="B51" s="53">
        <f>IF(OR(E51=0,E51=""),"",COUNTA($E$21:E51))</f>
        <v>17</v>
      </c>
      <c r="C51" s="53" t="s">
        <v>185</v>
      </c>
      <c r="D51" s="58" t="s">
        <v>597</v>
      </c>
      <c r="E51" s="59">
        <v>1994</v>
      </c>
      <c r="F51" s="60">
        <v>1845.6</v>
      </c>
      <c r="G51" s="60">
        <v>1224.9000000000001</v>
      </c>
      <c r="H51" s="60">
        <v>0</v>
      </c>
      <c r="I51" s="60" t="s">
        <v>34</v>
      </c>
      <c r="J51" s="60"/>
      <c r="K51" s="60"/>
      <c r="L51" s="60"/>
      <c r="M51" s="60"/>
      <c r="N51" s="60"/>
      <c r="O51" s="60"/>
      <c r="P51" s="60">
        <f t="shared" ref="P51" si="26">2013*F51</f>
        <v>3715192.8</v>
      </c>
      <c r="Q51" s="60"/>
      <c r="R51" s="60"/>
      <c r="S51" s="60"/>
      <c r="T51" s="60"/>
      <c r="U51" s="60">
        <f t="shared" ref="U51" si="27">50*F51</f>
        <v>92280</v>
      </c>
      <c r="V51" s="60">
        <f t="shared" ref="V51" si="28">(J51+K51+L51+M51+N51+O51+P51+Q51+R51+S51+T51)*0.0214</f>
        <v>79505.13</v>
      </c>
      <c r="W51" s="62">
        <f>SUM(J51:V51)</f>
        <v>3886977.93</v>
      </c>
      <c r="X51" s="60" t="s">
        <v>17</v>
      </c>
      <c r="Y51" s="59">
        <v>0</v>
      </c>
      <c r="Z51" s="59">
        <v>0</v>
      </c>
      <c r="AA51" s="59">
        <v>0</v>
      </c>
      <c r="AB51" s="54">
        <f>W51-(Y51+Z51+AA51)</f>
        <v>3886977.93</v>
      </c>
    </row>
    <row r="52" spans="1:28" s="31" customFormat="1" ht="52.5" customHeight="1" x14ac:dyDescent="0.35">
      <c r="A52" s="31">
        <v>2018</v>
      </c>
      <c r="B52" s="53" t="str">
        <f>IF(OR(E52=0,E52=""),"",COUNTA($E$21:E52))</f>
        <v/>
      </c>
      <c r="C52" s="53"/>
      <c r="D52" s="58"/>
      <c r="E52" s="59"/>
      <c r="F52" s="54">
        <f>SUM(F51:F51)</f>
        <v>1845.6</v>
      </c>
      <c r="G52" s="54">
        <f>SUM(G51:G51)</f>
        <v>1224.9000000000001</v>
      </c>
      <c r="H52" s="54">
        <f>SUM(H51:H51)</f>
        <v>0</v>
      </c>
      <c r="I52" s="54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54">
        <f>SUM(W51:W51)</f>
        <v>3886977.93</v>
      </c>
      <c r="X52" s="60"/>
      <c r="Y52" s="52">
        <v>0</v>
      </c>
      <c r="Z52" s="52">
        <v>0</v>
      </c>
      <c r="AA52" s="52">
        <v>0</v>
      </c>
      <c r="AB52" s="54">
        <f>SUM(AB51:AB51)</f>
        <v>3886977.93</v>
      </c>
    </row>
    <row r="53" spans="1:28" s="31" customFormat="1" ht="52.5" customHeight="1" x14ac:dyDescent="0.35">
      <c r="A53" s="31">
        <v>2018</v>
      </c>
      <c r="B53" s="53" t="str">
        <f>IF(OR(E53=0,E53=""),"",COUNTA($E$21:E53))</f>
        <v/>
      </c>
      <c r="C53" s="53"/>
      <c r="D53" s="57" t="s">
        <v>1066</v>
      </c>
      <c r="E53" s="57"/>
      <c r="F53" s="54"/>
      <c r="G53" s="54"/>
      <c r="H53" s="54"/>
      <c r="I53" s="54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59"/>
      <c r="Z53" s="59"/>
      <c r="AA53" s="59"/>
      <c r="AB53" s="54"/>
    </row>
    <row r="54" spans="1:28" s="36" customFormat="1" ht="52.5" customHeight="1" x14ac:dyDescent="0.25">
      <c r="B54" s="53">
        <f>IF(OR(E54=0,E54=""),"",COUNTA($E$21:E54))</f>
        <v>18</v>
      </c>
      <c r="C54" s="53" t="s">
        <v>252</v>
      </c>
      <c r="D54" s="82" t="s">
        <v>598</v>
      </c>
      <c r="E54" s="58">
        <v>1917</v>
      </c>
      <c r="F54" s="63">
        <v>1009.3</v>
      </c>
      <c r="G54" s="63">
        <v>646.70000000000005</v>
      </c>
      <c r="H54" s="63">
        <v>159.4</v>
      </c>
      <c r="I54" s="60" t="s">
        <v>59</v>
      </c>
      <c r="J54" s="60">
        <f>405*F54</f>
        <v>408766.5</v>
      </c>
      <c r="K54" s="60">
        <f>800*F54</f>
        <v>807440</v>
      </c>
      <c r="L54" s="60"/>
      <c r="M54" s="60">
        <f>320*F54</f>
        <v>322976</v>
      </c>
      <c r="N54" s="60">
        <f>190*F54</f>
        <v>191767</v>
      </c>
      <c r="O54" s="60"/>
      <c r="P54" s="60">
        <f>3100*F54</f>
        <v>3128830</v>
      </c>
      <c r="Q54" s="60">
        <f>190*F54</f>
        <v>191767</v>
      </c>
      <c r="R54" s="60">
        <f>2450*F54</f>
        <v>2472785</v>
      </c>
      <c r="S54" s="60">
        <f>195*F54</f>
        <v>196813.5</v>
      </c>
      <c r="T54" s="60"/>
      <c r="U54" s="60">
        <f>900*F54</f>
        <v>908370</v>
      </c>
      <c r="V54" s="61">
        <f>(J54+K54+L54+M54+N54+O54+P54+Q54+R54+S54+T54)*0.0214</f>
        <v>165232.5</v>
      </c>
      <c r="W54" s="62">
        <f>V54+U54+T54+S54+R54+Q54+P54+O54+N54+M54+L54+K54+J54</f>
        <v>8794747.5</v>
      </c>
      <c r="X54" s="60" t="s">
        <v>17</v>
      </c>
      <c r="Y54" s="63">
        <v>0</v>
      </c>
      <c r="Z54" s="63">
        <v>0</v>
      </c>
      <c r="AA54" s="63">
        <v>0</v>
      </c>
      <c r="AB54" s="56">
        <f t="shared" ref="AB54:AB118" si="29">W54-(Y54+Z54+AA54)</f>
        <v>8794747.5</v>
      </c>
    </row>
    <row r="55" spans="1:28" s="36" customFormat="1" ht="52.5" customHeight="1" x14ac:dyDescent="0.25">
      <c r="B55" s="53">
        <f>IF(OR(E55=0,E55=""),"",COUNTA($E$21:E55))</f>
        <v>19</v>
      </c>
      <c r="C55" s="53" t="s">
        <v>438</v>
      </c>
      <c r="D55" s="82" t="s">
        <v>599</v>
      </c>
      <c r="E55" s="58">
        <v>2003</v>
      </c>
      <c r="F55" s="63">
        <v>13964.7</v>
      </c>
      <c r="G55" s="63">
        <v>8827.9</v>
      </c>
      <c r="H55" s="63">
        <v>2045.9</v>
      </c>
      <c r="I55" s="81" t="s">
        <v>32</v>
      </c>
      <c r="J55" s="60"/>
      <c r="K55" s="60"/>
      <c r="L55" s="60"/>
      <c r="M55" s="60"/>
      <c r="N55" s="60"/>
      <c r="O55" s="60"/>
      <c r="P55" s="60">
        <f>612*F55</f>
        <v>8546396.4000000004</v>
      </c>
      <c r="Q55" s="60"/>
      <c r="R55" s="60"/>
      <c r="S55" s="60"/>
      <c r="T55" s="60"/>
      <c r="U55" s="60"/>
      <c r="V55" s="61"/>
      <c r="W55" s="62">
        <f t="shared" ref="W55:W57" si="30">V55+U55+T55+S55+R55+Q55+P55+O55+N55+M55+L55+K55+J55</f>
        <v>8546396.4000000004</v>
      </c>
      <c r="X55" s="60" t="s">
        <v>17</v>
      </c>
      <c r="Y55" s="63">
        <v>0</v>
      </c>
      <c r="Z55" s="63">
        <v>0</v>
      </c>
      <c r="AA55" s="63">
        <v>0</v>
      </c>
      <c r="AB55" s="56">
        <f t="shared" ref="AB55:AB57" si="31">W55-(Y55+Z55+AA55)</f>
        <v>8546396.4000000004</v>
      </c>
    </row>
    <row r="56" spans="1:28" s="36" customFormat="1" ht="52.5" customHeight="1" x14ac:dyDescent="0.25">
      <c r="B56" s="53">
        <f>IF(OR(E56=0,E56=""),"",COUNTA($E$21:E56))</f>
        <v>20</v>
      </c>
      <c r="C56" s="53" t="s">
        <v>221</v>
      </c>
      <c r="D56" s="82" t="s">
        <v>600</v>
      </c>
      <c r="E56" s="58">
        <v>1995</v>
      </c>
      <c r="F56" s="63">
        <v>5048.5</v>
      </c>
      <c r="G56" s="63">
        <v>4471</v>
      </c>
      <c r="H56" s="63">
        <v>948</v>
      </c>
      <c r="I56" s="80" t="s">
        <v>31</v>
      </c>
      <c r="J56" s="60"/>
      <c r="K56" s="60"/>
      <c r="L56" s="60"/>
      <c r="M56" s="60"/>
      <c r="N56" s="60"/>
      <c r="O56" s="60"/>
      <c r="P56" s="60">
        <f t="shared" ref="P56:P57" si="32">612*F56</f>
        <v>3089682</v>
      </c>
      <c r="Q56" s="60"/>
      <c r="R56" s="60"/>
      <c r="S56" s="60"/>
      <c r="T56" s="60"/>
      <c r="U56" s="60"/>
      <c r="V56" s="61"/>
      <c r="W56" s="62">
        <f t="shared" si="30"/>
        <v>3089682</v>
      </c>
      <c r="X56" s="60" t="s">
        <v>17</v>
      </c>
      <c r="Y56" s="63">
        <v>0</v>
      </c>
      <c r="Z56" s="63">
        <v>0</v>
      </c>
      <c r="AA56" s="63">
        <v>0</v>
      </c>
      <c r="AB56" s="56">
        <f t="shared" si="31"/>
        <v>3089682</v>
      </c>
    </row>
    <row r="57" spans="1:28" s="36" customFormat="1" ht="52.5" customHeight="1" x14ac:dyDescent="0.25">
      <c r="B57" s="53">
        <f>IF(OR(E57=0,E57=""),"",COUNTA($E$21:E57))</f>
        <v>21</v>
      </c>
      <c r="C57" s="53" t="s">
        <v>210</v>
      </c>
      <c r="D57" s="82" t="s">
        <v>601</v>
      </c>
      <c r="E57" s="58">
        <v>2006</v>
      </c>
      <c r="F57" s="63">
        <v>9901.6</v>
      </c>
      <c r="G57" s="63">
        <v>8062.6</v>
      </c>
      <c r="H57" s="63">
        <v>268.5</v>
      </c>
      <c r="I57" s="81" t="s">
        <v>32</v>
      </c>
      <c r="J57" s="60"/>
      <c r="K57" s="60"/>
      <c r="L57" s="60"/>
      <c r="M57" s="60"/>
      <c r="N57" s="60"/>
      <c r="O57" s="60"/>
      <c r="P57" s="60">
        <f t="shared" si="32"/>
        <v>6059779.2000000002</v>
      </c>
      <c r="Q57" s="60"/>
      <c r="R57" s="60"/>
      <c r="S57" s="60"/>
      <c r="T57" s="60"/>
      <c r="U57" s="60"/>
      <c r="V57" s="61"/>
      <c r="W57" s="62">
        <f t="shared" si="30"/>
        <v>6059779.2000000002</v>
      </c>
      <c r="X57" s="60" t="s">
        <v>17</v>
      </c>
      <c r="Y57" s="63">
        <v>0</v>
      </c>
      <c r="Z57" s="63">
        <v>0</v>
      </c>
      <c r="AA57" s="63">
        <v>0</v>
      </c>
      <c r="AB57" s="56">
        <f t="shared" si="31"/>
        <v>6059779.2000000002</v>
      </c>
    </row>
    <row r="58" spans="1:28" s="36" customFormat="1" ht="52.5" customHeight="1" x14ac:dyDescent="0.25">
      <c r="B58" s="53">
        <f>IF(OR(E58=0,E58=""),"",COUNTA($E$21:E58))</f>
        <v>22</v>
      </c>
      <c r="C58" s="53" t="s">
        <v>233</v>
      </c>
      <c r="D58" s="82" t="s">
        <v>602</v>
      </c>
      <c r="E58" s="58">
        <v>1960</v>
      </c>
      <c r="F58" s="63">
        <v>609</v>
      </c>
      <c r="G58" s="63">
        <v>566.6</v>
      </c>
      <c r="H58" s="63">
        <v>0</v>
      </c>
      <c r="I58" s="60" t="s">
        <v>35</v>
      </c>
      <c r="J58" s="60">
        <f t="shared" ref="J58" si="33">431*F58</f>
        <v>262479</v>
      </c>
      <c r="K58" s="60">
        <f t="shared" ref="K58" si="34">500*F58</f>
        <v>304500</v>
      </c>
      <c r="L58" s="60"/>
      <c r="M58" s="60">
        <f t="shared" ref="M58" si="35">223*F58</f>
        <v>135807</v>
      </c>
      <c r="N58" s="60">
        <f t="shared" ref="N58" si="36">134*F58</f>
        <v>81606</v>
      </c>
      <c r="O58" s="60"/>
      <c r="P58" s="60">
        <f t="shared" ref="P58" si="37">2013*F58</f>
        <v>1225917</v>
      </c>
      <c r="Q58" s="60">
        <f t="shared" ref="Q58" si="38">191*F58</f>
        <v>116319</v>
      </c>
      <c r="R58" s="60">
        <f t="shared" ref="R58" si="39">1657*F58</f>
        <v>1009113</v>
      </c>
      <c r="S58" s="60">
        <f t="shared" ref="S58" si="40">134*F58</f>
        <v>81606</v>
      </c>
      <c r="T58" s="60"/>
      <c r="U58" s="60">
        <f t="shared" ref="U58" si="41">50*F58</f>
        <v>30450</v>
      </c>
      <c r="V58" s="60">
        <f t="shared" ref="V58" si="42">(J58+K58+L58+M58+N58+O58+P58+Q58+R58+S58+T58)*0.0214</f>
        <v>68851.23</v>
      </c>
      <c r="W58" s="62">
        <f t="shared" ref="W58" si="43">V58+U58+T58+S58+R58+Q58+P58+O58+N58+M58+L58+K58+J58</f>
        <v>3316648.23</v>
      </c>
      <c r="X58" s="60" t="s">
        <v>17</v>
      </c>
      <c r="Y58" s="63">
        <v>0</v>
      </c>
      <c r="Z58" s="63">
        <v>0</v>
      </c>
      <c r="AA58" s="63">
        <v>0</v>
      </c>
      <c r="AB58" s="56">
        <f t="shared" ref="AB58" si="44">W58-(Y58+Z58+AA58)</f>
        <v>3316648.23</v>
      </c>
    </row>
    <row r="59" spans="1:28" s="36" customFormat="1" ht="52.5" customHeight="1" x14ac:dyDescent="0.25">
      <c r="B59" s="53">
        <f>IF(OR(E59=0,E59=""),"",COUNTA($E$21:E59))</f>
        <v>23</v>
      </c>
      <c r="C59" s="53" t="s">
        <v>274</v>
      </c>
      <c r="D59" s="82" t="s">
        <v>603</v>
      </c>
      <c r="E59" s="58">
        <v>1958</v>
      </c>
      <c r="F59" s="63">
        <v>2448.6</v>
      </c>
      <c r="G59" s="63">
        <v>1487.29</v>
      </c>
      <c r="H59" s="63">
        <v>344.2</v>
      </c>
      <c r="I59" s="60" t="s">
        <v>33</v>
      </c>
      <c r="J59" s="60">
        <f t="shared" ref="J59" si="45">391*F59</f>
        <v>957402.6</v>
      </c>
      <c r="K59" s="60">
        <f t="shared" ref="K59" si="46">815*F59</f>
        <v>1995609</v>
      </c>
      <c r="L59" s="60"/>
      <c r="M59" s="60">
        <f t="shared" ref="M59" si="47">326*F59</f>
        <v>798243.6</v>
      </c>
      <c r="N59" s="60">
        <f t="shared" ref="N59" si="48">194*F59</f>
        <v>475028.4</v>
      </c>
      <c r="O59" s="60"/>
      <c r="P59" s="60">
        <f t="shared" ref="P59" si="49">1679*F59</f>
        <v>4111199.4</v>
      </c>
      <c r="Q59" s="60">
        <f t="shared" ref="Q59" si="50">133*F59</f>
        <v>325663.8</v>
      </c>
      <c r="R59" s="60">
        <f t="shared" ref="R59" si="51">1525*F59</f>
        <v>3734115</v>
      </c>
      <c r="S59" s="60"/>
      <c r="T59" s="60"/>
      <c r="U59" s="60">
        <f t="shared" ref="U59" si="52">50*F59</f>
        <v>122430</v>
      </c>
      <c r="V59" s="61">
        <f t="shared" ref="V59" si="53">(J59+K59+L59+M59+N59+O59+P59+Q59+R59+S59+T59)*0.0214</f>
        <v>265301.40000000002</v>
      </c>
      <c r="W59" s="62">
        <f t="shared" ref="W59" si="54">V59+U59+T59+S59+R59+Q59+P59+O59+N59+M59+L59+K59+J59</f>
        <v>12784993.199999999</v>
      </c>
      <c r="X59" s="60" t="s">
        <v>17</v>
      </c>
      <c r="Y59" s="59">
        <v>0</v>
      </c>
      <c r="Z59" s="59">
        <v>0</v>
      </c>
      <c r="AA59" s="59">
        <v>0</v>
      </c>
      <c r="AB59" s="56">
        <f t="shared" ref="AB59" si="55">W59-(Y59+Z59+AA59)</f>
        <v>12784993.199999999</v>
      </c>
    </row>
    <row r="60" spans="1:28" s="36" customFormat="1" ht="52.5" customHeight="1" x14ac:dyDescent="0.25">
      <c r="B60" s="53">
        <f>IF(OR(E60=0,E60=""),"",COUNTA($E$21:E60))</f>
        <v>24</v>
      </c>
      <c r="C60" s="53" t="s">
        <v>453</v>
      </c>
      <c r="D60" s="82" t="s">
        <v>1058</v>
      </c>
      <c r="E60" s="58">
        <v>1957</v>
      </c>
      <c r="F60" s="63">
        <v>761.3</v>
      </c>
      <c r="G60" s="63">
        <v>509.7</v>
      </c>
      <c r="H60" s="63">
        <v>0</v>
      </c>
      <c r="I60" s="60" t="s">
        <v>34</v>
      </c>
      <c r="J60" s="60"/>
      <c r="K60" s="60"/>
      <c r="L60" s="60"/>
      <c r="M60" s="60"/>
      <c r="N60" s="60"/>
      <c r="O60" s="60"/>
      <c r="P60" s="60">
        <f t="shared" ref="P60" si="56">2013*F60</f>
        <v>1532496.9</v>
      </c>
      <c r="Q60" s="60"/>
      <c r="R60" s="60">
        <f t="shared" ref="R60" si="57">1657*F60</f>
        <v>1261474.1000000001</v>
      </c>
      <c r="S60" s="60"/>
      <c r="T60" s="60"/>
      <c r="U60" s="60">
        <f t="shared" ref="U60" si="58">50*F60</f>
        <v>38065</v>
      </c>
      <c r="V60" s="60"/>
      <c r="W60" s="62">
        <f t="shared" ref="W60" si="59">V60+U60+T60+S60+R60+Q60+P60+O60+N60+M60+L60+K60+J60</f>
        <v>2832036</v>
      </c>
      <c r="X60" s="60" t="s">
        <v>17</v>
      </c>
      <c r="Y60" s="63">
        <v>0</v>
      </c>
      <c r="Z60" s="63">
        <v>0</v>
      </c>
      <c r="AA60" s="63">
        <v>0</v>
      </c>
      <c r="AB60" s="56">
        <f t="shared" si="29"/>
        <v>2832036</v>
      </c>
    </row>
    <row r="61" spans="1:28" s="36" customFormat="1" ht="52.5" customHeight="1" x14ac:dyDescent="0.25">
      <c r="B61" s="53">
        <f>IF(OR(E61=0,E61=""),"",COUNTA($E$21:E61))</f>
        <v>25</v>
      </c>
      <c r="C61" s="53" t="s">
        <v>296</v>
      </c>
      <c r="D61" s="82" t="s">
        <v>604</v>
      </c>
      <c r="E61" s="58">
        <v>1959</v>
      </c>
      <c r="F61" s="60">
        <v>2015.1</v>
      </c>
      <c r="G61" s="59">
        <v>1597.4</v>
      </c>
      <c r="H61" s="59">
        <v>0</v>
      </c>
      <c r="I61" s="60" t="s">
        <v>33</v>
      </c>
      <c r="J61" s="60">
        <f t="shared" ref="J61" si="60">391*F61</f>
        <v>787904.1</v>
      </c>
      <c r="K61" s="60">
        <f t="shared" ref="K61" si="61">815*F61</f>
        <v>1642306.5</v>
      </c>
      <c r="L61" s="60"/>
      <c r="M61" s="60">
        <f t="shared" ref="M61" si="62">326*F61</f>
        <v>656922.6</v>
      </c>
      <c r="N61" s="60">
        <f t="shared" ref="N61" si="63">194*F61</f>
        <v>390929.4</v>
      </c>
      <c r="O61" s="60"/>
      <c r="P61" s="60">
        <f t="shared" ref="P61" si="64">1679*F61</f>
        <v>3383352.9</v>
      </c>
      <c r="Q61" s="60">
        <f t="shared" ref="Q61" si="65">133*F61</f>
        <v>268008.3</v>
      </c>
      <c r="R61" s="60">
        <f t="shared" ref="R61" si="66">1525*F61</f>
        <v>3073027.5</v>
      </c>
      <c r="S61" s="60">
        <f t="shared" ref="S61" si="67">171*F61</f>
        <v>344582.1</v>
      </c>
      <c r="T61" s="60"/>
      <c r="U61" s="60">
        <f t="shared" ref="U61" si="68">50*F61</f>
        <v>100755</v>
      </c>
      <c r="V61" s="61">
        <f t="shared" ref="V61" si="69">(J61+K61+L61+M61+N61+O61+P61+Q61+R61+S61+T61)*0.0214</f>
        <v>225706.51</v>
      </c>
      <c r="W61" s="62">
        <f t="shared" ref="W61:W62" si="70">V61+U61+T61+S61+R61+Q61+P61+O61+N61+M61+L61+K61+J61</f>
        <v>10873494.91</v>
      </c>
      <c r="X61" s="60" t="s">
        <v>17</v>
      </c>
      <c r="Y61" s="59">
        <v>0</v>
      </c>
      <c r="Z61" s="59">
        <v>0</v>
      </c>
      <c r="AA61" s="59">
        <v>0</v>
      </c>
      <c r="AB61" s="56">
        <f t="shared" si="29"/>
        <v>10873494.91</v>
      </c>
    </row>
    <row r="62" spans="1:28" s="36" customFormat="1" ht="52.5" customHeight="1" x14ac:dyDescent="0.25">
      <c r="B62" s="53">
        <f>IF(OR(E62=0,E62=""),"",COUNTA($E$21:E62))</f>
        <v>26</v>
      </c>
      <c r="C62" s="53" t="s">
        <v>278</v>
      </c>
      <c r="D62" s="82" t="s">
        <v>605</v>
      </c>
      <c r="E62" s="58">
        <v>1960</v>
      </c>
      <c r="F62" s="60">
        <v>1702.9</v>
      </c>
      <c r="G62" s="59">
        <v>1283.8</v>
      </c>
      <c r="H62" s="60">
        <v>0</v>
      </c>
      <c r="I62" s="60" t="s">
        <v>36</v>
      </c>
      <c r="J62" s="60">
        <f>391*F62</f>
        <v>665833.9</v>
      </c>
      <c r="K62" s="60">
        <f>815*F62</f>
        <v>1387863.5</v>
      </c>
      <c r="L62" s="60"/>
      <c r="M62" s="60">
        <f>326*F62</f>
        <v>555145.4</v>
      </c>
      <c r="N62" s="60">
        <f>194*F62</f>
        <v>330362.59999999998</v>
      </c>
      <c r="O62" s="60"/>
      <c r="P62" s="60">
        <f>1679*F62</f>
        <v>2859169.1</v>
      </c>
      <c r="Q62" s="60">
        <f>133*F62</f>
        <v>226485.7</v>
      </c>
      <c r="R62" s="60">
        <f>1525*F62</f>
        <v>2596922.5</v>
      </c>
      <c r="S62" s="60">
        <f>171*F62</f>
        <v>291195.90000000002</v>
      </c>
      <c r="T62" s="60"/>
      <c r="U62" s="60">
        <f>50*F62</f>
        <v>85145</v>
      </c>
      <c r="V62" s="61">
        <f>(J62+K62+L62+M62+N62+O62+P62+Q62+R62+S62+T62)*0.0214</f>
        <v>190737.74</v>
      </c>
      <c r="W62" s="62">
        <f t="shared" si="70"/>
        <v>9188861.3399999999</v>
      </c>
      <c r="X62" s="60" t="s">
        <v>17</v>
      </c>
      <c r="Y62" s="59">
        <v>0</v>
      </c>
      <c r="Z62" s="59">
        <v>0</v>
      </c>
      <c r="AA62" s="59">
        <v>0</v>
      </c>
      <c r="AB62" s="56">
        <f t="shared" si="29"/>
        <v>9188861.3399999999</v>
      </c>
    </row>
    <row r="63" spans="1:28" s="36" customFormat="1" ht="52.5" customHeight="1" x14ac:dyDescent="0.25">
      <c r="A63" s="36">
        <v>2018</v>
      </c>
      <c r="B63" s="53">
        <f>IF(OR(E63=0,E63=""),"",COUNTA($E$21:E63))</f>
        <v>27</v>
      </c>
      <c r="C63" s="53" t="s">
        <v>437</v>
      </c>
      <c r="D63" s="82" t="s">
        <v>606</v>
      </c>
      <c r="E63" s="58">
        <v>1958</v>
      </c>
      <c r="F63" s="60">
        <v>275.10000000000002</v>
      </c>
      <c r="G63" s="60">
        <v>192.3</v>
      </c>
      <c r="H63" s="60">
        <v>0</v>
      </c>
      <c r="I63" s="60" t="s">
        <v>35</v>
      </c>
      <c r="J63" s="60">
        <f t="shared" ref="J63:J69" si="71">431*F63</f>
        <v>118568.1</v>
      </c>
      <c r="K63" s="60"/>
      <c r="L63" s="60"/>
      <c r="M63" s="60"/>
      <c r="N63" s="60"/>
      <c r="O63" s="60"/>
      <c r="P63" s="60">
        <f t="shared" ref="P63:P74" si="72">2013*F63</f>
        <v>553776.30000000005</v>
      </c>
      <c r="Q63" s="60"/>
      <c r="R63" s="60">
        <f t="shared" ref="R63:R74" si="73">1657*F63</f>
        <v>455840.7</v>
      </c>
      <c r="S63" s="60">
        <f t="shared" ref="S63:S74" si="74">134*F63</f>
        <v>36863.4</v>
      </c>
      <c r="T63" s="60"/>
      <c r="U63" s="60">
        <f t="shared" ref="U63:U74" si="75">50*F63</f>
        <v>13755</v>
      </c>
      <c r="V63" s="60">
        <f t="shared" ref="V63:V74" si="76">(J63+K63+L63+M63+N63+O63+P63+Q63+R63+S63+T63)*0.0214</f>
        <v>24932.04</v>
      </c>
      <c r="W63" s="62">
        <f t="shared" ref="W63:W96" si="77">V63+U63+T63+S63+R63+Q63+P63+O63+N63+M63+L63+K63+J63</f>
        <v>1203735.54</v>
      </c>
      <c r="X63" s="60" t="s">
        <v>17</v>
      </c>
      <c r="Y63" s="63">
        <v>0</v>
      </c>
      <c r="Z63" s="63">
        <v>0</v>
      </c>
      <c r="AA63" s="63">
        <v>0</v>
      </c>
      <c r="AB63" s="56">
        <f t="shared" si="29"/>
        <v>1203735.54</v>
      </c>
    </row>
    <row r="64" spans="1:28" s="36" customFormat="1" ht="52.5" customHeight="1" x14ac:dyDescent="0.25">
      <c r="A64" s="36">
        <v>2018</v>
      </c>
      <c r="B64" s="53">
        <f>IF(OR(E64=0,E64=""),"",COUNTA($E$21:E64))</f>
        <v>28</v>
      </c>
      <c r="C64" s="53" t="s">
        <v>267</v>
      </c>
      <c r="D64" s="82" t="s">
        <v>607</v>
      </c>
      <c r="E64" s="58">
        <v>1959</v>
      </c>
      <c r="F64" s="60">
        <v>280.39999999999998</v>
      </c>
      <c r="G64" s="60">
        <v>189.1</v>
      </c>
      <c r="H64" s="60">
        <v>0</v>
      </c>
      <c r="I64" s="60" t="s">
        <v>35</v>
      </c>
      <c r="J64" s="60">
        <f t="shared" si="71"/>
        <v>120852.4</v>
      </c>
      <c r="K64" s="60">
        <f t="shared" ref="K64:K66" si="78">500*F64</f>
        <v>140200</v>
      </c>
      <c r="L64" s="60"/>
      <c r="M64" s="60">
        <f t="shared" ref="M64:M69" si="79">223*F64</f>
        <v>62529.2</v>
      </c>
      <c r="N64" s="60">
        <f t="shared" ref="N64:N65" si="80">134*F64</f>
        <v>37573.599999999999</v>
      </c>
      <c r="O64" s="60"/>
      <c r="P64" s="60">
        <f t="shared" si="72"/>
        <v>564445.19999999995</v>
      </c>
      <c r="Q64" s="60">
        <f t="shared" ref="Q64:Q69" si="81">191*F64</f>
        <v>53556.4</v>
      </c>
      <c r="R64" s="60">
        <f t="shared" si="73"/>
        <v>464622.8</v>
      </c>
      <c r="S64" s="60">
        <f t="shared" si="74"/>
        <v>37573.599999999999</v>
      </c>
      <c r="T64" s="60"/>
      <c r="U64" s="60">
        <f t="shared" si="75"/>
        <v>14020</v>
      </c>
      <c r="V64" s="60">
        <f t="shared" si="76"/>
        <v>31700.959999999999</v>
      </c>
      <c r="W64" s="62">
        <f t="shared" si="77"/>
        <v>1527074.16</v>
      </c>
      <c r="X64" s="60" t="s">
        <v>17</v>
      </c>
      <c r="Y64" s="63">
        <v>0</v>
      </c>
      <c r="Z64" s="63">
        <v>0</v>
      </c>
      <c r="AA64" s="63">
        <v>0</v>
      </c>
      <c r="AB64" s="56">
        <f t="shared" si="29"/>
        <v>1527074.16</v>
      </c>
    </row>
    <row r="65" spans="1:28" s="36" customFormat="1" ht="52.5" customHeight="1" x14ac:dyDescent="0.25">
      <c r="A65" s="36">
        <v>2018</v>
      </c>
      <c r="B65" s="53">
        <f>IF(OR(E65=0,E65=""),"",COUNTA($E$21:E65))</f>
        <v>29</v>
      </c>
      <c r="C65" s="53" t="s">
        <v>222</v>
      </c>
      <c r="D65" s="82" t="s">
        <v>608</v>
      </c>
      <c r="E65" s="58">
        <v>1959</v>
      </c>
      <c r="F65" s="60">
        <v>1001</v>
      </c>
      <c r="G65" s="60">
        <v>929.1</v>
      </c>
      <c r="H65" s="60">
        <v>0</v>
      </c>
      <c r="I65" s="60" t="s">
        <v>35</v>
      </c>
      <c r="J65" s="60">
        <f t="shared" si="71"/>
        <v>431431</v>
      </c>
      <c r="K65" s="60"/>
      <c r="L65" s="60"/>
      <c r="M65" s="60"/>
      <c r="N65" s="60">
        <f t="shared" si="80"/>
        <v>134134</v>
      </c>
      <c r="O65" s="60"/>
      <c r="P65" s="60">
        <f t="shared" si="72"/>
        <v>2015013</v>
      </c>
      <c r="Q65" s="60"/>
      <c r="R65" s="60">
        <f t="shared" si="73"/>
        <v>1658657</v>
      </c>
      <c r="S65" s="60">
        <f t="shared" si="74"/>
        <v>134134</v>
      </c>
      <c r="T65" s="60"/>
      <c r="U65" s="60">
        <f t="shared" si="75"/>
        <v>50050</v>
      </c>
      <c r="V65" s="60">
        <f t="shared" si="76"/>
        <v>93590.1</v>
      </c>
      <c r="W65" s="62">
        <f t="shared" si="77"/>
        <v>4517009.0999999996</v>
      </c>
      <c r="X65" s="60" t="s">
        <v>17</v>
      </c>
      <c r="Y65" s="63">
        <v>0</v>
      </c>
      <c r="Z65" s="63">
        <v>0</v>
      </c>
      <c r="AA65" s="63">
        <v>0</v>
      </c>
      <c r="AB65" s="56">
        <f t="shared" si="29"/>
        <v>4517009.0999999996</v>
      </c>
    </row>
    <row r="66" spans="1:28" s="36" customFormat="1" ht="52.5" customHeight="1" x14ac:dyDescent="0.25">
      <c r="A66" s="36">
        <v>2018</v>
      </c>
      <c r="B66" s="53">
        <f>IF(OR(E66=0,E66=""),"",COUNTA($E$21:E66))</f>
        <v>30</v>
      </c>
      <c r="C66" s="53" t="s">
        <v>224</v>
      </c>
      <c r="D66" s="82" t="s">
        <v>609</v>
      </c>
      <c r="E66" s="58">
        <v>1959</v>
      </c>
      <c r="F66" s="60">
        <v>468</v>
      </c>
      <c r="G66" s="60">
        <v>447.1</v>
      </c>
      <c r="H66" s="60">
        <v>0</v>
      </c>
      <c r="I66" s="60" t="s">
        <v>35</v>
      </c>
      <c r="J66" s="60">
        <f t="shared" si="71"/>
        <v>201708</v>
      </c>
      <c r="K66" s="60">
        <f t="shared" si="78"/>
        <v>234000</v>
      </c>
      <c r="L66" s="60"/>
      <c r="M66" s="60">
        <f t="shared" si="79"/>
        <v>104364</v>
      </c>
      <c r="N66" s="60"/>
      <c r="O66" s="60"/>
      <c r="P66" s="60">
        <f t="shared" si="72"/>
        <v>942084</v>
      </c>
      <c r="Q66" s="60"/>
      <c r="R66" s="60">
        <f t="shared" si="73"/>
        <v>775476</v>
      </c>
      <c r="S66" s="60">
        <f t="shared" si="74"/>
        <v>62712</v>
      </c>
      <c r="T66" s="60"/>
      <c r="U66" s="60">
        <f t="shared" si="75"/>
        <v>23400</v>
      </c>
      <c r="V66" s="60">
        <f t="shared" si="76"/>
        <v>49655.360000000001</v>
      </c>
      <c r="W66" s="62">
        <f t="shared" si="77"/>
        <v>2393399.36</v>
      </c>
      <c r="X66" s="60" t="s">
        <v>17</v>
      </c>
      <c r="Y66" s="63">
        <v>0</v>
      </c>
      <c r="Z66" s="63">
        <v>0</v>
      </c>
      <c r="AA66" s="63">
        <v>0</v>
      </c>
      <c r="AB66" s="56">
        <f t="shared" si="29"/>
        <v>2393399.36</v>
      </c>
    </row>
    <row r="67" spans="1:28" s="36" customFormat="1" ht="52.5" customHeight="1" x14ac:dyDescent="0.25">
      <c r="A67" s="36">
        <v>2018</v>
      </c>
      <c r="B67" s="53">
        <f>IF(OR(E67=0,E67=""),"",COUNTA($E$21:E67))</f>
        <v>31</v>
      </c>
      <c r="C67" s="53" t="s">
        <v>450</v>
      </c>
      <c r="D67" s="82" t="s">
        <v>610</v>
      </c>
      <c r="E67" s="58">
        <v>1960</v>
      </c>
      <c r="F67" s="60">
        <v>845.6</v>
      </c>
      <c r="G67" s="60">
        <v>583.29999999999995</v>
      </c>
      <c r="H67" s="60">
        <v>55.9</v>
      </c>
      <c r="I67" s="60" t="s">
        <v>34</v>
      </c>
      <c r="J67" s="60">
        <f t="shared" si="71"/>
        <v>364453.6</v>
      </c>
      <c r="K67" s="60"/>
      <c r="L67" s="60"/>
      <c r="M67" s="60">
        <f t="shared" si="79"/>
        <v>188568.8</v>
      </c>
      <c r="N67" s="60">
        <f t="shared" ref="N67:N69" si="82">134*F67</f>
        <v>113310.39999999999</v>
      </c>
      <c r="O67" s="60"/>
      <c r="P67" s="60">
        <f t="shared" si="72"/>
        <v>1702192.8</v>
      </c>
      <c r="Q67" s="60">
        <f t="shared" si="81"/>
        <v>161509.6</v>
      </c>
      <c r="R67" s="60">
        <f t="shared" si="73"/>
        <v>1401159.2</v>
      </c>
      <c r="S67" s="60">
        <f t="shared" si="74"/>
        <v>113310.39999999999</v>
      </c>
      <c r="T67" s="60"/>
      <c r="U67" s="60">
        <f t="shared" si="75"/>
        <v>42280</v>
      </c>
      <c r="V67" s="60">
        <f t="shared" si="76"/>
        <v>86552.4</v>
      </c>
      <c r="W67" s="62">
        <f t="shared" si="77"/>
        <v>4173337.2</v>
      </c>
      <c r="X67" s="60" t="s">
        <v>17</v>
      </c>
      <c r="Y67" s="63">
        <v>0</v>
      </c>
      <c r="Z67" s="63">
        <v>0</v>
      </c>
      <c r="AA67" s="63">
        <v>0</v>
      </c>
      <c r="AB67" s="56">
        <f t="shared" si="29"/>
        <v>4173337.2</v>
      </c>
    </row>
    <row r="68" spans="1:28" s="36" customFormat="1" ht="52.5" customHeight="1" x14ac:dyDescent="0.25">
      <c r="A68" s="36">
        <v>2018</v>
      </c>
      <c r="B68" s="53">
        <f>IF(OR(E68=0,E68=""),"",COUNTA($E$21:E68))</f>
        <v>32</v>
      </c>
      <c r="C68" s="53" t="s">
        <v>234</v>
      </c>
      <c r="D68" s="82" t="s">
        <v>611</v>
      </c>
      <c r="E68" s="58">
        <v>1961</v>
      </c>
      <c r="F68" s="60">
        <v>670</v>
      </c>
      <c r="G68" s="60">
        <v>622.70000000000005</v>
      </c>
      <c r="H68" s="60">
        <v>0</v>
      </c>
      <c r="I68" s="60" t="s">
        <v>35</v>
      </c>
      <c r="J68" s="60">
        <f t="shared" si="71"/>
        <v>288770</v>
      </c>
      <c r="K68" s="60">
        <f>500*F68</f>
        <v>335000</v>
      </c>
      <c r="L68" s="60"/>
      <c r="M68" s="60">
        <f t="shared" si="79"/>
        <v>149410</v>
      </c>
      <c r="N68" s="60">
        <f t="shared" si="82"/>
        <v>89780</v>
      </c>
      <c r="O68" s="60"/>
      <c r="P68" s="60">
        <f t="shared" si="72"/>
        <v>1348710</v>
      </c>
      <c r="Q68" s="60">
        <f t="shared" si="81"/>
        <v>127970</v>
      </c>
      <c r="R68" s="60">
        <f t="shared" si="73"/>
        <v>1110190</v>
      </c>
      <c r="S68" s="60">
        <f t="shared" si="74"/>
        <v>89780</v>
      </c>
      <c r="T68" s="60"/>
      <c r="U68" s="60">
        <f t="shared" si="75"/>
        <v>33500</v>
      </c>
      <c r="V68" s="60">
        <f t="shared" si="76"/>
        <v>75747.649999999994</v>
      </c>
      <c r="W68" s="62">
        <f t="shared" si="77"/>
        <v>3648857.65</v>
      </c>
      <c r="X68" s="60" t="s">
        <v>17</v>
      </c>
      <c r="Y68" s="63">
        <v>0</v>
      </c>
      <c r="Z68" s="63">
        <v>0</v>
      </c>
      <c r="AA68" s="63">
        <v>0</v>
      </c>
      <c r="AB68" s="56">
        <f t="shared" si="29"/>
        <v>3648857.65</v>
      </c>
    </row>
    <row r="69" spans="1:28" s="36" customFormat="1" ht="52.5" customHeight="1" x14ac:dyDescent="0.25">
      <c r="A69" s="36">
        <v>2018</v>
      </c>
      <c r="B69" s="53">
        <f>IF(OR(E69=0,E69=""),"",COUNTA($E$21:E69))</f>
        <v>33</v>
      </c>
      <c r="C69" s="53" t="s">
        <v>196</v>
      </c>
      <c r="D69" s="82" t="s">
        <v>612</v>
      </c>
      <c r="E69" s="58">
        <v>1961</v>
      </c>
      <c r="F69" s="60">
        <v>552.9</v>
      </c>
      <c r="G69" s="60">
        <v>498.3</v>
      </c>
      <c r="H69" s="60">
        <v>0</v>
      </c>
      <c r="I69" s="60" t="s">
        <v>35</v>
      </c>
      <c r="J69" s="60">
        <f t="shared" si="71"/>
        <v>238299.9</v>
      </c>
      <c r="K69" s="60"/>
      <c r="L69" s="60"/>
      <c r="M69" s="60">
        <f t="shared" si="79"/>
        <v>123296.7</v>
      </c>
      <c r="N69" s="60">
        <f t="shared" si="82"/>
        <v>74088.600000000006</v>
      </c>
      <c r="O69" s="60"/>
      <c r="P69" s="60">
        <f t="shared" si="72"/>
        <v>1112987.7</v>
      </c>
      <c r="Q69" s="60">
        <f t="shared" si="81"/>
        <v>105603.9</v>
      </c>
      <c r="R69" s="60">
        <f t="shared" si="73"/>
        <v>916155.3</v>
      </c>
      <c r="S69" s="60">
        <f t="shared" si="74"/>
        <v>74088.600000000006</v>
      </c>
      <c r="T69" s="60"/>
      <c r="U69" s="60">
        <f t="shared" si="75"/>
        <v>27645</v>
      </c>
      <c r="V69" s="60">
        <f t="shared" si="76"/>
        <v>56592.74</v>
      </c>
      <c r="W69" s="62">
        <f t="shared" si="77"/>
        <v>2728758.44</v>
      </c>
      <c r="X69" s="60" t="s">
        <v>17</v>
      </c>
      <c r="Y69" s="63">
        <v>0</v>
      </c>
      <c r="Z69" s="63">
        <v>0</v>
      </c>
      <c r="AA69" s="63">
        <v>0</v>
      </c>
      <c r="AB69" s="56">
        <f t="shared" si="29"/>
        <v>2728758.44</v>
      </c>
    </row>
    <row r="70" spans="1:28" s="36" customFormat="1" ht="52.5" customHeight="1" x14ac:dyDescent="0.25">
      <c r="A70" s="36">
        <v>2018</v>
      </c>
      <c r="B70" s="53">
        <f>IF(OR(E70=0,E70=""),"",COUNTA($E$21:E70))</f>
        <v>34</v>
      </c>
      <c r="C70" s="53" t="s">
        <v>198</v>
      </c>
      <c r="D70" s="82" t="s">
        <v>1059</v>
      </c>
      <c r="E70" s="58">
        <v>1961</v>
      </c>
      <c r="F70" s="60">
        <v>407.91</v>
      </c>
      <c r="G70" s="60">
        <v>373.21</v>
      </c>
      <c r="H70" s="60">
        <v>0</v>
      </c>
      <c r="I70" s="60" t="s">
        <v>35</v>
      </c>
      <c r="J70" s="60"/>
      <c r="K70" s="60"/>
      <c r="L70" s="60"/>
      <c r="M70" s="60"/>
      <c r="N70" s="60"/>
      <c r="O70" s="60"/>
      <c r="P70" s="60">
        <f t="shared" si="72"/>
        <v>821122.83</v>
      </c>
      <c r="Q70" s="60"/>
      <c r="R70" s="60">
        <f t="shared" si="73"/>
        <v>675906.87</v>
      </c>
      <c r="S70" s="60">
        <f t="shared" si="74"/>
        <v>54659.94</v>
      </c>
      <c r="T70" s="60"/>
      <c r="U70" s="60">
        <f t="shared" si="75"/>
        <v>20395.5</v>
      </c>
      <c r="V70" s="60">
        <f t="shared" si="76"/>
        <v>33206.160000000003</v>
      </c>
      <c r="W70" s="62">
        <f t="shared" si="77"/>
        <v>1605291.3</v>
      </c>
      <c r="X70" s="60" t="s">
        <v>17</v>
      </c>
      <c r="Y70" s="63">
        <v>0</v>
      </c>
      <c r="Z70" s="63">
        <v>0</v>
      </c>
      <c r="AA70" s="63">
        <v>0</v>
      </c>
      <c r="AB70" s="56">
        <f t="shared" si="29"/>
        <v>1605291.3</v>
      </c>
    </row>
    <row r="71" spans="1:28" s="36" customFormat="1" ht="52.5" customHeight="1" x14ac:dyDescent="0.25">
      <c r="A71" s="36">
        <v>2018</v>
      </c>
      <c r="B71" s="53">
        <f>IF(OR(E71=0,E71=""),"",COUNTA($E$21:E71))</f>
        <v>35</v>
      </c>
      <c r="C71" s="53" t="s">
        <v>257</v>
      </c>
      <c r="D71" s="82" t="s">
        <v>613</v>
      </c>
      <c r="E71" s="58">
        <v>1960</v>
      </c>
      <c r="F71" s="60">
        <v>648.4</v>
      </c>
      <c r="G71" s="60">
        <v>183.07</v>
      </c>
      <c r="H71" s="60">
        <v>160.30000000000001</v>
      </c>
      <c r="I71" s="60" t="s">
        <v>35</v>
      </c>
      <c r="J71" s="60"/>
      <c r="K71" s="60"/>
      <c r="L71" s="60"/>
      <c r="M71" s="60"/>
      <c r="N71" s="60"/>
      <c r="O71" s="60"/>
      <c r="P71" s="60">
        <f t="shared" si="72"/>
        <v>1305229.2</v>
      </c>
      <c r="Q71" s="60"/>
      <c r="R71" s="60">
        <f t="shared" si="73"/>
        <v>1074398.8</v>
      </c>
      <c r="S71" s="60">
        <f t="shared" si="74"/>
        <v>86885.6</v>
      </c>
      <c r="T71" s="60"/>
      <c r="U71" s="60">
        <f t="shared" si="75"/>
        <v>32420</v>
      </c>
      <c r="V71" s="60">
        <f t="shared" si="76"/>
        <v>52783.39</v>
      </c>
      <c r="W71" s="62">
        <f t="shared" si="77"/>
        <v>2551716.9900000002</v>
      </c>
      <c r="X71" s="60" t="s">
        <v>17</v>
      </c>
      <c r="Y71" s="59">
        <v>0</v>
      </c>
      <c r="Z71" s="59">
        <v>0</v>
      </c>
      <c r="AA71" s="59">
        <v>0</v>
      </c>
      <c r="AB71" s="56">
        <f t="shared" si="29"/>
        <v>2551716.9900000002</v>
      </c>
    </row>
    <row r="72" spans="1:28" s="36" customFormat="1" ht="52.5" customHeight="1" x14ac:dyDescent="0.25">
      <c r="A72" s="36">
        <v>2018</v>
      </c>
      <c r="B72" s="53">
        <f>IF(OR(E72=0,E72=""),"",COUNTA($E$21:E72))</f>
        <v>36</v>
      </c>
      <c r="C72" s="53" t="s">
        <v>452</v>
      </c>
      <c r="D72" s="82" t="s">
        <v>614</v>
      </c>
      <c r="E72" s="58">
        <v>1960</v>
      </c>
      <c r="F72" s="63">
        <v>304.3</v>
      </c>
      <c r="G72" s="63">
        <v>278</v>
      </c>
      <c r="H72" s="60">
        <v>0</v>
      </c>
      <c r="I72" s="60" t="s">
        <v>35</v>
      </c>
      <c r="J72" s="60"/>
      <c r="K72" s="60">
        <f t="shared" ref="K72:K74" si="83">500*F72</f>
        <v>152150</v>
      </c>
      <c r="L72" s="60"/>
      <c r="M72" s="60">
        <f t="shared" ref="M72:M74" si="84">223*F72</f>
        <v>67858.899999999994</v>
      </c>
      <c r="N72" s="60">
        <f t="shared" ref="N72:N74" si="85">134*F72</f>
        <v>40776.199999999997</v>
      </c>
      <c r="O72" s="60"/>
      <c r="P72" s="60">
        <f t="shared" si="72"/>
        <v>612555.9</v>
      </c>
      <c r="Q72" s="60"/>
      <c r="R72" s="60">
        <f t="shared" si="73"/>
        <v>504225.1</v>
      </c>
      <c r="S72" s="60">
        <f t="shared" si="74"/>
        <v>40776.199999999997</v>
      </c>
      <c r="T72" s="60"/>
      <c r="U72" s="60">
        <f t="shared" si="75"/>
        <v>15215</v>
      </c>
      <c r="V72" s="60">
        <f t="shared" si="76"/>
        <v>30352.53</v>
      </c>
      <c r="W72" s="62">
        <f t="shared" si="77"/>
        <v>1463909.83</v>
      </c>
      <c r="X72" s="60" t="s">
        <v>17</v>
      </c>
      <c r="Y72" s="63">
        <v>0</v>
      </c>
      <c r="Z72" s="63">
        <v>0</v>
      </c>
      <c r="AA72" s="63">
        <v>0</v>
      </c>
      <c r="AB72" s="56">
        <f t="shared" si="29"/>
        <v>1463909.83</v>
      </c>
    </row>
    <row r="73" spans="1:28" s="36" customFormat="1" ht="52.5" customHeight="1" x14ac:dyDescent="0.25">
      <c r="A73" s="36">
        <v>2018</v>
      </c>
      <c r="B73" s="53">
        <f>IF(OR(E73=0,E73=""),"",COUNTA($E$21:E73))</f>
        <v>37</v>
      </c>
      <c r="C73" s="53" t="s">
        <v>433</v>
      </c>
      <c r="D73" s="82" t="s">
        <v>615</v>
      </c>
      <c r="E73" s="58">
        <v>1957</v>
      </c>
      <c r="F73" s="60">
        <v>1394.8</v>
      </c>
      <c r="G73" s="60">
        <v>625.20000000000005</v>
      </c>
      <c r="H73" s="60">
        <v>0</v>
      </c>
      <c r="I73" s="60" t="s">
        <v>35</v>
      </c>
      <c r="J73" s="60">
        <f t="shared" ref="J73:J74" si="86">431*F73</f>
        <v>601158.80000000005</v>
      </c>
      <c r="K73" s="60">
        <f t="shared" si="83"/>
        <v>697400</v>
      </c>
      <c r="L73" s="60"/>
      <c r="M73" s="60">
        <f t="shared" si="84"/>
        <v>311040.40000000002</v>
      </c>
      <c r="N73" s="60">
        <f t="shared" si="85"/>
        <v>186903.2</v>
      </c>
      <c r="O73" s="60"/>
      <c r="P73" s="60">
        <f t="shared" si="72"/>
        <v>2807732.4</v>
      </c>
      <c r="Q73" s="60">
        <f t="shared" ref="Q73" si="87">191*F73</f>
        <v>266406.8</v>
      </c>
      <c r="R73" s="60">
        <f t="shared" si="73"/>
        <v>2311183.6</v>
      </c>
      <c r="S73" s="60">
        <f t="shared" si="74"/>
        <v>186903.2</v>
      </c>
      <c r="T73" s="60"/>
      <c r="U73" s="60">
        <f t="shared" si="75"/>
        <v>69740</v>
      </c>
      <c r="V73" s="60">
        <f t="shared" si="76"/>
        <v>157690.79</v>
      </c>
      <c r="W73" s="62">
        <f t="shared" si="77"/>
        <v>7596159.1900000004</v>
      </c>
      <c r="X73" s="60" t="s">
        <v>17</v>
      </c>
      <c r="Y73" s="63">
        <v>0</v>
      </c>
      <c r="Z73" s="63">
        <v>0</v>
      </c>
      <c r="AA73" s="63">
        <v>0</v>
      </c>
      <c r="AB73" s="56">
        <f t="shared" si="29"/>
        <v>7596159.1900000004</v>
      </c>
    </row>
    <row r="74" spans="1:28" s="36" customFormat="1" ht="52.5" customHeight="1" x14ac:dyDescent="0.25">
      <c r="A74" s="36">
        <v>2018</v>
      </c>
      <c r="B74" s="53">
        <f>IF(OR(E74=0,E74=""),"",COUNTA($E$21:E74))</f>
        <v>38</v>
      </c>
      <c r="C74" s="53" t="s">
        <v>434</v>
      </c>
      <c r="D74" s="82" t="s">
        <v>616</v>
      </c>
      <c r="E74" s="58">
        <v>1959</v>
      </c>
      <c r="F74" s="60">
        <v>588.4</v>
      </c>
      <c r="G74" s="60">
        <v>539.4</v>
      </c>
      <c r="H74" s="60">
        <v>0</v>
      </c>
      <c r="I74" s="60" t="s">
        <v>35</v>
      </c>
      <c r="J74" s="60">
        <f t="shared" si="86"/>
        <v>253600.4</v>
      </c>
      <c r="K74" s="60">
        <f t="shared" si="83"/>
        <v>294200</v>
      </c>
      <c r="L74" s="60"/>
      <c r="M74" s="60">
        <f t="shared" si="84"/>
        <v>131213.20000000001</v>
      </c>
      <c r="N74" s="60">
        <f t="shared" si="85"/>
        <v>78845.600000000006</v>
      </c>
      <c r="O74" s="60"/>
      <c r="P74" s="60">
        <f t="shared" si="72"/>
        <v>1184449.2</v>
      </c>
      <c r="Q74" s="60"/>
      <c r="R74" s="60">
        <f t="shared" si="73"/>
        <v>974978.8</v>
      </c>
      <c r="S74" s="60">
        <f t="shared" si="74"/>
        <v>78845.600000000006</v>
      </c>
      <c r="T74" s="60"/>
      <c r="U74" s="60">
        <f t="shared" si="75"/>
        <v>29420</v>
      </c>
      <c r="V74" s="60">
        <f t="shared" si="76"/>
        <v>64117.24</v>
      </c>
      <c r="W74" s="62">
        <f t="shared" si="77"/>
        <v>3089670.04</v>
      </c>
      <c r="X74" s="60" t="s">
        <v>17</v>
      </c>
      <c r="Y74" s="63">
        <v>0</v>
      </c>
      <c r="Z74" s="63">
        <v>0</v>
      </c>
      <c r="AA74" s="63">
        <v>0</v>
      </c>
      <c r="AB74" s="56">
        <f t="shared" si="29"/>
        <v>3089670.04</v>
      </c>
    </row>
    <row r="75" spans="1:28" s="36" customFormat="1" ht="52.5" customHeight="1" x14ac:dyDescent="0.25">
      <c r="A75" s="36">
        <v>2018</v>
      </c>
      <c r="B75" s="53">
        <f>IF(OR(E75=0,E75=""),"",COUNTA($E$21:E75))</f>
        <v>39</v>
      </c>
      <c r="C75" s="53" t="s">
        <v>320</v>
      </c>
      <c r="D75" s="82" t="s">
        <v>617</v>
      </c>
      <c r="E75" s="58">
        <v>1976</v>
      </c>
      <c r="F75" s="60">
        <v>9026.7000000000007</v>
      </c>
      <c r="G75" s="60">
        <v>5535</v>
      </c>
      <c r="H75" s="60">
        <v>1450</v>
      </c>
      <c r="I75" s="60" t="s">
        <v>33</v>
      </c>
      <c r="J75" s="60"/>
      <c r="K75" s="60"/>
      <c r="L75" s="60"/>
      <c r="M75" s="60"/>
      <c r="N75" s="60"/>
      <c r="O75" s="60"/>
      <c r="P75" s="60">
        <f>1679*F75</f>
        <v>15155829.300000001</v>
      </c>
      <c r="Q75" s="60"/>
      <c r="R75" s="60"/>
      <c r="S75" s="60"/>
      <c r="T75" s="60"/>
      <c r="U75" s="60">
        <f>50*F75</f>
        <v>451335</v>
      </c>
      <c r="V75" s="61">
        <f>(J75+K75+L75+M75+N75+O75+P75+Q75+R75+S75+T75)*0.0214</f>
        <v>324334.75</v>
      </c>
      <c r="W75" s="62">
        <f t="shared" si="77"/>
        <v>15931499.050000001</v>
      </c>
      <c r="X75" s="60" t="s">
        <v>17</v>
      </c>
      <c r="Y75" s="59">
        <v>0</v>
      </c>
      <c r="Z75" s="59">
        <v>0</v>
      </c>
      <c r="AA75" s="59">
        <v>0</v>
      </c>
      <c r="AB75" s="56">
        <f t="shared" si="29"/>
        <v>15931499.050000001</v>
      </c>
    </row>
    <row r="76" spans="1:28" s="36" customFormat="1" ht="52.5" customHeight="1" x14ac:dyDescent="0.25">
      <c r="A76" s="36">
        <v>2018</v>
      </c>
      <c r="B76" s="53">
        <f>IF(OR(E76=0,E76=""),"",COUNTA($E$21:E76))</f>
        <v>40</v>
      </c>
      <c r="C76" s="53" t="s">
        <v>223</v>
      </c>
      <c r="D76" s="82" t="s">
        <v>618</v>
      </c>
      <c r="E76" s="58">
        <v>1959</v>
      </c>
      <c r="F76" s="60">
        <v>276.89999999999998</v>
      </c>
      <c r="G76" s="60">
        <v>252.9</v>
      </c>
      <c r="H76" s="60">
        <v>0</v>
      </c>
      <c r="I76" s="60" t="s">
        <v>35</v>
      </c>
      <c r="J76" s="60"/>
      <c r="K76" s="60"/>
      <c r="L76" s="60"/>
      <c r="M76" s="60"/>
      <c r="N76" s="60">
        <f>134*F76</f>
        <v>37104.6</v>
      </c>
      <c r="O76" s="60"/>
      <c r="P76" s="60">
        <f t="shared" ref="P76:P77" si="88">2013*F76</f>
        <v>557399.69999999995</v>
      </c>
      <c r="Q76" s="60"/>
      <c r="R76" s="60">
        <f t="shared" ref="R76:R77" si="89">1657*F76</f>
        <v>458823.3</v>
      </c>
      <c r="S76" s="60">
        <f t="shared" ref="S76:S77" si="90">134*F76</f>
        <v>37104.6</v>
      </c>
      <c r="T76" s="60"/>
      <c r="U76" s="60">
        <f t="shared" ref="U76:U77" si="91">50*F76</f>
        <v>13845</v>
      </c>
      <c r="V76" s="60">
        <f t="shared" ref="V76:V77" si="92">(J76+K76+L76+M76+N76+O76+P76+Q76+R76+S76+T76)*0.0214</f>
        <v>23335.25</v>
      </c>
      <c r="W76" s="62">
        <f t="shared" si="77"/>
        <v>1127612.45</v>
      </c>
      <c r="X76" s="60" t="s">
        <v>17</v>
      </c>
      <c r="Y76" s="59">
        <v>0</v>
      </c>
      <c r="Z76" s="59">
        <v>0</v>
      </c>
      <c r="AA76" s="59">
        <v>0</v>
      </c>
      <c r="AB76" s="56">
        <f t="shared" si="29"/>
        <v>1127612.45</v>
      </c>
    </row>
    <row r="77" spans="1:28" s="36" customFormat="1" ht="52.5" customHeight="1" x14ac:dyDescent="0.25">
      <c r="A77" s="36">
        <v>2018</v>
      </c>
      <c r="B77" s="53">
        <f>IF(OR(E77=0,E77=""),"",COUNTA($E$21:E77))</f>
        <v>41</v>
      </c>
      <c r="C77" s="53" t="s">
        <v>354</v>
      </c>
      <c r="D77" s="82" t="s">
        <v>619</v>
      </c>
      <c r="E77" s="58">
        <v>1960</v>
      </c>
      <c r="F77" s="60">
        <v>586.79999999999995</v>
      </c>
      <c r="G77" s="60">
        <v>385.3</v>
      </c>
      <c r="H77" s="60">
        <v>0</v>
      </c>
      <c r="I77" s="60" t="s">
        <v>35</v>
      </c>
      <c r="J77" s="60">
        <f>431*F77</f>
        <v>252910.8</v>
      </c>
      <c r="K77" s="60"/>
      <c r="L77" s="60"/>
      <c r="M77" s="60"/>
      <c r="N77" s="60"/>
      <c r="O77" s="60"/>
      <c r="P77" s="60">
        <f t="shared" si="88"/>
        <v>1181228.3999999999</v>
      </c>
      <c r="Q77" s="60">
        <f t="shared" ref="Q77" si="93">191*F77</f>
        <v>112078.8</v>
      </c>
      <c r="R77" s="60">
        <f t="shared" si="89"/>
        <v>972327.6</v>
      </c>
      <c r="S77" s="60">
        <f t="shared" si="90"/>
        <v>78631.199999999997</v>
      </c>
      <c r="T77" s="60"/>
      <c r="U77" s="60">
        <f t="shared" si="91"/>
        <v>29340</v>
      </c>
      <c r="V77" s="60">
        <f t="shared" si="92"/>
        <v>55579.58</v>
      </c>
      <c r="W77" s="62">
        <f t="shared" si="77"/>
        <v>2682096.38</v>
      </c>
      <c r="X77" s="60" t="s">
        <v>17</v>
      </c>
      <c r="Y77" s="59">
        <v>0</v>
      </c>
      <c r="Z77" s="59">
        <v>0</v>
      </c>
      <c r="AA77" s="59">
        <v>0</v>
      </c>
      <c r="AB77" s="56">
        <f t="shared" si="29"/>
        <v>2682096.38</v>
      </c>
    </row>
    <row r="78" spans="1:28" s="36" customFormat="1" ht="52.5" customHeight="1" x14ac:dyDescent="0.25">
      <c r="A78" s="36">
        <v>2018</v>
      </c>
      <c r="B78" s="53">
        <f>IF(OR(E78=0,E78=""),"",COUNTA($E$21:E78))</f>
        <v>42</v>
      </c>
      <c r="C78" s="53" t="s">
        <v>379</v>
      </c>
      <c r="D78" s="82" t="s">
        <v>620</v>
      </c>
      <c r="E78" s="58">
        <v>1960</v>
      </c>
      <c r="F78" s="60">
        <v>2606.9299999999998</v>
      </c>
      <c r="G78" s="60">
        <v>1691.6</v>
      </c>
      <c r="H78" s="60">
        <v>464.7</v>
      </c>
      <c r="I78" s="60" t="s">
        <v>36</v>
      </c>
      <c r="J78" s="60">
        <f>391*F78</f>
        <v>1019309.63</v>
      </c>
      <c r="K78" s="60">
        <f>815*F78</f>
        <v>2124647.9500000002</v>
      </c>
      <c r="L78" s="60"/>
      <c r="M78" s="60">
        <f>326*F78</f>
        <v>849859.18</v>
      </c>
      <c r="N78" s="60">
        <f>194*F78</f>
        <v>505744.42</v>
      </c>
      <c r="O78" s="60"/>
      <c r="P78" s="60">
        <f>1679*F78</f>
        <v>4377035.47</v>
      </c>
      <c r="Q78" s="60">
        <f>133*F78</f>
        <v>346721.69</v>
      </c>
      <c r="R78" s="60">
        <f>1525*F78</f>
        <v>3975568.25</v>
      </c>
      <c r="S78" s="60">
        <f>171*F78</f>
        <v>445785.03</v>
      </c>
      <c r="T78" s="60"/>
      <c r="U78" s="60">
        <f>50*F78</f>
        <v>130346.5</v>
      </c>
      <c r="V78" s="61">
        <f>(J78+K78+L78+M78+N78+O78+P78+Q78+R78+S78+T78)*0.0214</f>
        <v>291995.96999999997</v>
      </c>
      <c r="W78" s="62">
        <f t="shared" si="77"/>
        <v>14067014.09</v>
      </c>
      <c r="X78" s="60" t="s">
        <v>17</v>
      </c>
      <c r="Y78" s="59">
        <v>0</v>
      </c>
      <c r="Z78" s="59">
        <v>0</v>
      </c>
      <c r="AA78" s="59">
        <v>0</v>
      </c>
      <c r="AB78" s="56">
        <f t="shared" si="29"/>
        <v>14067014.09</v>
      </c>
    </row>
    <row r="79" spans="1:28" s="36" customFormat="1" ht="52.5" customHeight="1" x14ac:dyDescent="0.25">
      <c r="A79" s="36">
        <v>2018</v>
      </c>
      <c r="B79" s="53">
        <f>IF(OR(E79=0,E79=""),"",COUNTA($E$21:E79))</f>
        <v>43</v>
      </c>
      <c r="C79" s="53" t="s">
        <v>372</v>
      </c>
      <c r="D79" s="82" t="s">
        <v>621</v>
      </c>
      <c r="E79" s="58">
        <v>1957</v>
      </c>
      <c r="F79" s="60">
        <v>1523.99</v>
      </c>
      <c r="G79" s="60">
        <v>1405.49</v>
      </c>
      <c r="H79" s="60">
        <v>0</v>
      </c>
      <c r="I79" s="60" t="s">
        <v>35</v>
      </c>
      <c r="J79" s="60"/>
      <c r="K79" s="60"/>
      <c r="L79" s="60"/>
      <c r="M79" s="60"/>
      <c r="N79" s="60"/>
      <c r="O79" s="60"/>
      <c r="P79" s="60">
        <f t="shared" ref="P79:P81" si="94">2013*F79</f>
        <v>3067791.87</v>
      </c>
      <c r="Q79" s="60"/>
      <c r="R79" s="60">
        <f t="shared" ref="R79:R81" si="95">1657*F79</f>
        <v>2525251.4300000002</v>
      </c>
      <c r="S79" s="60"/>
      <c r="T79" s="60"/>
      <c r="U79" s="60">
        <f>50*F79</f>
        <v>76199.5</v>
      </c>
      <c r="V79" s="60">
        <f>(J79+K79+L79+M79+N79+O79+P79+Q79+R79+S79+T79)*0.0214</f>
        <v>119691.13</v>
      </c>
      <c r="W79" s="62">
        <f t="shared" si="77"/>
        <v>5788933.9299999997</v>
      </c>
      <c r="X79" s="60" t="s">
        <v>17</v>
      </c>
      <c r="Y79" s="59">
        <v>0</v>
      </c>
      <c r="Z79" s="59">
        <v>0</v>
      </c>
      <c r="AA79" s="59">
        <v>0</v>
      </c>
      <c r="AB79" s="56">
        <f t="shared" si="29"/>
        <v>5788933.9299999997</v>
      </c>
    </row>
    <row r="80" spans="1:28" s="36" customFormat="1" ht="52.5" customHeight="1" x14ac:dyDescent="0.25">
      <c r="A80" s="36">
        <v>2018</v>
      </c>
      <c r="B80" s="53">
        <f>IF(OR(E80=0,E80=""),"",COUNTA($E$21:E80))</f>
        <v>44</v>
      </c>
      <c r="C80" s="53" t="s">
        <v>231</v>
      </c>
      <c r="D80" s="82" t="s">
        <v>622</v>
      </c>
      <c r="E80" s="58">
        <v>1956</v>
      </c>
      <c r="F80" s="60">
        <v>470.1</v>
      </c>
      <c r="G80" s="60">
        <v>363.9</v>
      </c>
      <c r="H80" s="60">
        <v>0</v>
      </c>
      <c r="I80" s="60" t="s">
        <v>35</v>
      </c>
      <c r="J80" s="60"/>
      <c r="K80" s="60"/>
      <c r="L80" s="60"/>
      <c r="M80" s="60"/>
      <c r="N80" s="60"/>
      <c r="O80" s="60"/>
      <c r="P80" s="60">
        <f t="shared" si="94"/>
        <v>946311.3</v>
      </c>
      <c r="Q80" s="60"/>
      <c r="R80" s="60"/>
      <c r="S80" s="60"/>
      <c r="T80" s="60"/>
      <c r="U80" s="60">
        <f>50*F80</f>
        <v>23505</v>
      </c>
      <c r="V80" s="60"/>
      <c r="W80" s="62">
        <f t="shared" si="77"/>
        <v>969816.3</v>
      </c>
      <c r="X80" s="60" t="s">
        <v>17</v>
      </c>
      <c r="Y80" s="59">
        <v>0</v>
      </c>
      <c r="Z80" s="59">
        <v>0</v>
      </c>
      <c r="AA80" s="59">
        <v>0</v>
      </c>
      <c r="AB80" s="56">
        <f t="shared" si="29"/>
        <v>969816.3</v>
      </c>
    </row>
    <row r="81" spans="1:28" s="36" customFormat="1" ht="52.5" customHeight="1" x14ac:dyDescent="0.25">
      <c r="A81" s="36">
        <v>2018</v>
      </c>
      <c r="B81" s="53">
        <f>IF(OR(E81=0,E81=""),"",COUNTA($E$21:E81))</f>
        <v>45</v>
      </c>
      <c r="C81" s="53" t="s">
        <v>238</v>
      </c>
      <c r="D81" s="82" t="s">
        <v>623</v>
      </c>
      <c r="E81" s="58">
        <v>1955</v>
      </c>
      <c r="F81" s="60">
        <v>1187.4000000000001</v>
      </c>
      <c r="G81" s="60">
        <v>1030.9000000000001</v>
      </c>
      <c r="H81" s="60">
        <v>0</v>
      </c>
      <c r="I81" s="60" t="s">
        <v>35</v>
      </c>
      <c r="J81" s="60"/>
      <c r="K81" s="60"/>
      <c r="L81" s="60"/>
      <c r="M81" s="60"/>
      <c r="N81" s="60"/>
      <c r="O81" s="60"/>
      <c r="P81" s="60">
        <f t="shared" si="94"/>
        <v>2390236.2000000002</v>
      </c>
      <c r="Q81" s="60"/>
      <c r="R81" s="60">
        <f t="shared" si="95"/>
        <v>1967521.8</v>
      </c>
      <c r="S81" s="60"/>
      <c r="T81" s="60"/>
      <c r="U81" s="60"/>
      <c r="V81" s="60"/>
      <c r="W81" s="62">
        <f t="shared" si="77"/>
        <v>4357758</v>
      </c>
      <c r="X81" s="60" t="s">
        <v>17</v>
      </c>
      <c r="Y81" s="59">
        <v>0</v>
      </c>
      <c r="Z81" s="59">
        <v>0</v>
      </c>
      <c r="AA81" s="59">
        <v>0</v>
      </c>
      <c r="AB81" s="56">
        <f t="shared" si="29"/>
        <v>4357758</v>
      </c>
    </row>
    <row r="82" spans="1:28" s="36" customFormat="1" ht="52.5" customHeight="1" x14ac:dyDescent="0.25">
      <c r="A82" s="36">
        <v>2018</v>
      </c>
      <c r="B82" s="53">
        <f>IF(OR(E82=0,E82=""),"",COUNTA($E$21:E82))</f>
        <v>46</v>
      </c>
      <c r="C82" s="53" t="s">
        <v>242</v>
      </c>
      <c r="D82" s="82" t="s">
        <v>624</v>
      </c>
      <c r="E82" s="58">
        <v>1956</v>
      </c>
      <c r="F82" s="60">
        <v>5866</v>
      </c>
      <c r="G82" s="60">
        <v>2930.7</v>
      </c>
      <c r="H82" s="60">
        <v>2935.3</v>
      </c>
      <c r="I82" s="60" t="s">
        <v>36</v>
      </c>
      <c r="J82" s="60"/>
      <c r="K82" s="60"/>
      <c r="L82" s="60"/>
      <c r="M82" s="60"/>
      <c r="N82" s="60"/>
      <c r="O82" s="60"/>
      <c r="P82" s="60">
        <f>1679*F82</f>
        <v>9849014</v>
      </c>
      <c r="Q82" s="60"/>
      <c r="R82" s="60">
        <f>1525*F82</f>
        <v>8945650</v>
      </c>
      <c r="S82" s="60"/>
      <c r="T82" s="60"/>
      <c r="U82" s="60"/>
      <c r="V82" s="60"/>
      <c r="W82" s="62">
        <f t="shared" si="77"/>
        <v>18794664</v>
      </c>
      <c r="X82" s="60" t="s">
        <v>17</v>
      </c>
      <c r="Y82" s="59">
        <v>0</v>
      </c>
      <c r="Z82" s="59">
        <v>0</v>
      </c>
      <c r="AA82" s="59">
        <v>0</v>
      </c>
      <c r="AB82" s="56">
        <f t="shared" si="29"/>
        <v>18794664</v>
      </c>
    </row>
    <row r="83" spans="1:28" s="36" customFormat="1" ht="52.5" customHeight="1" x14ac:dyDescent="0.25">
      <c r="A83" s="36">
        <v>2018</v>
      </c>
      <c r="B83" s="53">
        <f>IF(OR(E83=0,E83=""),"",COUNTA($E$21:E83))</f>
        <v>47</v>
      </c>
      <c r="C83" s="53" t="s">
        <v>256</v>
      </c>
      <c r="D83" s="82" t="s">
        <v>625</v>
      </c>
      <c r="E83" s="58">
        <v>1951</v>
      </c>
      <c r="F83" s="60">
        <v>2589.9</v>
      </c>
      <c r="G83" s="60">
        <v>1674.8</v>
      </c>
      <c r="H83" s="60">
        <v>915.1</v>
      </c>
      <c r="I83" s="60" t="s">
        <v>30</v>
      </c>
      <c r="J83" s="60"/>
      <c r="K83" s="60"/>
      <c r="L83" s="60"/>
      <c r="M83" s="60"/>
      <c r="N83" s="60"/>
      <c r="O83" s="60"/>
      <c r="P83" s="60">
        <f t="shared" ref="P83:P85" si="96">3100*F83</f>
        <v>8028690</v>
      </c>
      <c r="Q83" s="60"/>
      <c r="R83" s="60"/>
      <c r="S83" s="60"/>
      <c r="T83" s="60"/>
      <c r="U83" s="60">
        <f>353*F83</f>
        <v>914234.7</v>
      </c>
      <c r="V83" s="60">
        <f>(J83+K83+L83+M83+N83+O83+P83+Q83+R83+S83+T83)*0.0214</f>
        <v>171813.97</v>
      </c>
      <c r="W83" s="62">
        <f t="shared" si="77"/>
        <v>9114738.6699999999</v>
      </c>
      <c r="X83" s="60" t="s">
        <v>17</v>
      </c>
      <c r="Y83" s="59">
        <v>0</v>
      </c>
      <c r="Z83" s="59">
        <v>0</v>
      </c>
      <c r="AA83" s="59">
        <v>0</v>
      </c>
      <c r="AB83" s="56">
        <f t="shared" si="29"/>
        <v>9114738.6699999999</v>
      </c>
    </row>
    <row r="84" spans="1:28" s="36" customFormat="1" ht="52.5" customHeight="1" x14ac:dyDescent="0.25">
      <c r="B84" s="53">
        <f>IF(OR(E84=0,E84=""),"",COUNTA($E$21:E84))</f>
        <v>48</v>
      </c>
      <c r="C84" s="53" t="s">
        <v>249</v>
      </c>
      <c r="D84" s="82" t="s">
        <v>626</v>
      </c>
      <c r="E84" s="58">
        <v>1947</v>
      </c>
      <c r="F84" s="60">
        <v>2689.9</v>
      </c>
      <c r="G84" s="60">
        <v>419.4</v>
      </c>
      <c r="H84" s="60">
        <v>1671.5</v>
      </c>
      <c r="I84" s="60" t="s">
        <v>59</v>
      </c>
      <c r="J84" s="60"/>
      <c r="K84" s="60">
        <f t="shared" ref="K84:K85" si="97">800*F84</f>
        <v>2151920</v>
      </c>
      <c r="L84" s="60"/>
      <c r="M84" s="60"/>
      <c r="N84" s="60">
        <f t="shared" ref="N84:N85" si="98">190*F84</f>
        <v>511081</v>
      </c>
      <c r="O84" s="60"/>
      <c r="P84" s="60">
        <f t="shared" si="96"/>
        <v>8338690</v>
      </c>
      <c r="Q84" s="60"/>
      <c r="R84" s="60">
        <f t="shared" ref="R84:R85" si="99">2450*F84</f>
        <v>6590255</v>
      </c>
      <c r="S84" s="60">
        <f t="shared" ref="S84:S85" si="100">195*F84</f>
        <v>524530.5</v>
      </c>
      <c r="T84" s="60"/>
      <c r="U84" s="60">
        <f t="shared" ref="U84:U85" si="101">900*F84</f>
        <v>2420910</v>
      </c>
      <c r="V84" s="61">
        <f t="shared" ref="V84:V85" si="102">(J84+K84+L84+M84+N84+O84+P84+Q84+R84+S84+T84)*0.0214</f>
        <v>387692.6</v>
      </c>
      <c r="W84" s="62">
        <f>V84+U84+T84+S84+R84+Q84+P84+O84+N84+M84+L84+K84+J84</f>
        <v>20925079.100000001</v>
      </c>
      <c r="X84" s="60" t="s">
        <v>17</v>
      </c>
      <c r="Y84" s="59">
        <v>0</v>
      </c>
      <c r="Z84" s="59">
        <v>0</v>
      </c>
      <c r="AA84" s="59">
        <v>0</v>
      </c>
      <c r="AB84" s="56">
        <f t="shared" si="29"/>
        <v>20925079.100000001</v>
      </c>
    </row>
    <row r="85" spans="1:28" s="36" customFormat="1" ht="52.5" customHeight="1" x14ac:dyDescent="0.25">
      <c r="B85" s="53">
        <f>IF(OR(E85=0,E85=""),"",COUNTA($E$21:E85))</f>
        <v>49</v>
      </c>
      <c r="C85" s="53" t="s">
        <v>248</v>
      </c>
      <c r="D85" s="82" t="s">
        <v>627</v>
      </c>
      <c r="E85" s="58">
        <v>1958</v>
      </c>
      <c r="F85" s="60">
        <v>2650.4</v>
      </c>
      <c r="G85" s="60">
        <v>1613.5</v>
      </c>
      <c r="H85" s="60">
        <v>1004.1</v>
      </c>
      <c r="I85" s="60" t="s">
        <v>59</v>
      </c>
      <c r="J85" s="60">
        <f t="shared" ref="J85" si="103">405*F85</f>
        <v>1073412</v>
      </c>
      <c r="K85" s="60">
        <f t="shared" si="97"/>
        <v>2120320</v>
      </c>
      <c r="L85" s="60"/>
      <c r="M85" s="60">
        <f t="shared" ref="M85" si="104">320*F85</f>
        <v>848128</v>
      </c>
      <c r="N85" s="60">
        <f t="shared" si="98"/>
        <v>503576</v>
      </c>
      <c r="O85" s="60"/>
      <c r="P85" s="60">
        <f t="shared" si="96"/>
        <v>8216240</v>
      </c>
      <c r="Q85" s="60">
        <f t="shared" ref="Q85" si="105">190*F85</f>
        <v>503576</v>
      </c>
      <c r="R85" s="60">
        <f t="shared" si="99"/>
        <v>6493480</v>
      </c>
      <c r="S85" s="60">
        <f t="shared" si="100"/>
        <v>516828</v>
      </c>
      <c r="T85" s="60"/>
      <c r="U85" s="60">
        <f t="shared" si="101"/>
        <v>2385360</v>
      </c>
      <c r="V85" s="61">
        <f t="shared" si="102"/>
        <v>433896.98</v>
      </c>
      <c r="W85" s="62">
        <f>V85+U85+T85+S85+R85+Q85+P85+O85+N85+M85+L85+K85+J85</f>
        <v>23094816.98</v>
      </c>
      <c r="X85" s="60" t="s">
        <v>17</v>
      </c>
      <c r="Y85" s="59">
        <v>0</v>
      </c>
      <c r="Z85" s="59">
        <v>0</v>
      </c>
      <c r="AA85" s="59">
        <v>0</v>
      </c>
      <c r="AB85" s="56">
        <f t="shared" si="29"/>
        <v>23094816.98</v>
      </c>
    </row>
    <row r="86" spans="1:28" s="36" customFormat="1" ht="52.5" customHeight="1" x14ac:dyDescent="0.25">
      <c r="A86" s="36">
        <v>2018</v>
      </c>
      <c r="B86" s="53">
        <f>IF(OR(E86=0,E86=""),"",COUNTA($E$21:E86))</f>
        <v>50</v>
      </c>
      <c r="C86" s="53" t="s">
        <v>363</v>
      </c>
      <c r="D86" s="82" t="s">
        <v>628</v>
      </c>
      <c r="E86" s="58">
        <v>1953</v>
      </c>
      <c r="F86" s="60">
        <v>1283.92</v>
      </c>
      <c r="G86" s="60">
        <v>645.23</v>
      </c>
      <c r="H86" s="60">
        <v>0</v>
      </c>
      <c r="I86" s="60" t="s">
        <v>35</v>
      </c>
      <c r="J86" s="60"/>
      <c r="K86" s="60"/>
      <c r="L86" s="60"/>
      <c r="M86" s="60"/>
      <c r="N86" s="60"/>
      <c r="O86" s="60"/>
      <c r="P86" s="60">
        <f>2013*F86</f>
        <v>2584530.96</v>
      </c>
      <c r="Q86" s="60"/>
      <c r="R86" s="60"/>
      <c r="S86" s="60"/>
      <c r="T86" s="60"/>
      <c r="U86" s="60"/>
      <c r="V86" s="60"/>
      <c r="W86" s="62">
        <f t="shared" si="77"/>
        <v>2584530.96</v>
      </c>
      <c r="X86" s="60" t="s">
        <v>17</v>
      </c>
      <c r="Y86" s="59">
        <v>0</v>
      </c>
      <c r="Z86" s="59">
        <v>0</v>
      </c>
      <c r="AA86" s="59">
        <v>0</v>
      </c>
      <c r="AB86" s="56">
        <f t="shared" si="29"/>
        <v>2584530.96</v>
      </c>
    </row>
    <row r="87" spans="1:28" s="36" customFormat="1" ht="52.5" customHeight="1" x14ac:dyDescent="0.25">
      <c r="A87" s="36">
        <v>2018</v>
      </c>
      <c r="B87" s="53">
        <f>IF(OR(E87=0,E87=""),"",COUNTA($E$21:E87))</f>
        <v>51</v>
      </c>
      <c r="C87" s="53" t="s">
        <v>383</v>
      </c>
      <c r="D87" s="82" t="s">
        <v>629</v>
      </c>
      <c r="E87" s="58">
        <v>1939</v>
      </c>
      <c r="F87" s="60">
        <v>4520.5</v>
      </c>
      <c r="G87" s="60">
        <v>2857</v>
      </c>
      <c r="H87" s="60">
        <v>511.5</v>
      </c>
      <c r="I87" s="60" t="s">
        <v>33</v>
      </c>
      <c r="J87" s="60"/>
      <c r="K87" s="60"/>
      <c r="L87" s="60"/>
      <c r="M87" s="60"/>
      <c r="N87" s="60"/>
      <c r="O87" s="60"/>
      <c r="P87" s="60">
        <f t="shared" ref="P87:P88" si="106">1679*F87</f>
        <v>7589919.5</v>
      </c>
      <c r="Q87" s="60"/>
      <c r="R87" s="60"/>
      <c r="S87" s="60"/>
      <c r="T87" s="60"/>
      <c r="U87" s="60"/>
      <c r="V87" s="60"/>
      <c r="W87" s="62">
        <f t="shared" si="77"/>
        <v>7589919.5</v>
      </c>
      <c r="X87" s="60" t="s">
        <v>17</v>
      </c>
      <c r="Y87" s="59">
        <v>0</v>
      </c>
      <c r="Z87" s="59">
        <v>0</v>
      </c>
      <c r="AA87" s="59">
        <v>0</v>
      </c>
      <c r="AB87" s="56">
        <f t="shared" si="29"/>
        <v>7589919.5</v>
      </c>
    </row>
    <row r="88" spans="1:28" s="36" customFormat="1" ht="52.5" customHeight="1" x14ac:dyDescent="0.25">
      <c r="A88" s="36">
        <v>2018</v>
      </c>
      <c r="B88" s="53">
        <f>IF(OR(E88=0,E88=""),"",COUNTA($E$21:E88))</f>
        <v>52</v>
      </c>
      <c r="C88" s="53" t="s">
        <v>292</v>
      </c>
      <c r="D88" s="82" t="s">
        <v>630</v>
      </c>
      <c r="E88" s="58">
        <v>1965</v>
      </c>
      <c r="F88" s="60">
        <v>2653.7</v>
      </c>
      <c r="G88" s="60">
        <v>1980.3</v>
      </c>
      <c r="H88" s="60">
        <v>816.9</v>
      </c>
      <c r="I88" s="60" t="s">
        <v>36</v>
      </c>
      <c r="J88" s="60"/>
      <c r="K88" s="60"/>
      <c r="L88" s="60"/>
      <c r="M88" s="60"/>
      <c r="N88" s="60"/>
      <c r="O88" s="60"/>
      <c r="P88" s="60">
        <f t="shared" si="106"/>
        <v>4455562.3</v>
      </c>
      <c r="Q88" s="60"/>
      <c r="R88" s="60">
        <f t="shared" ref="R88" si="107">1525*F88</f>
        <v>4046892.5</v>
      </c>
      <c r="S88" s="60"/>
      <c r="T88" s="60"/>
      <c r="U88" s="60"/>
      <c r="V88" s="60"/>
      <c r="W88" s="62">
        <f t="shared" si="77"/>
        <v>8502454.8000000007</v>
      </c>
      <c r="X88" s="60" t="s">
        <v>17</v>
      </c>
      <c r="Y88" s="59">
        <v>0</v>
      </c>
      <c r="Z88" s="59">
        <v>0</v>
      </c>
      <c r="AA88" s="59">
        <v>0</v>
      </c>
      <c r="AB88" s="56">
        <f t="shared" si="29"/>
        <v>8502454.8000000007</v>
      </c>
    </row>
    <row r="89" spans="1:28" s="36" customFormat="1" ht="52.5" customHeight="1" x14ac:dyDescent="0.25">
      <c r="A89" s="36">
        <v>2018</v>
      </c>
      <c r="B89" s="53">
        <f>IF(OR(E89=0,E89=""),"",COUNTA($E$21:E89))</f>
        <v>53</v>
      </c>
      <c r="C89" s="53" t="s">
        <v>211</v>
      </c>
      <c r="D89" s="82" t="s">
        <v>631</v>
      </c>
      <c r="E89" s="58">
        <v>1988</v>
      </c>
      <c r="F89" s="60">
        <v>6705.2</v>
      </c>
      <c r="G89" s="60">
        <v>5623.7</v>
      </c>
      <c r="H89" s="60">
        <v>0</v>
      </c>
      <c r="I89" s="60" t="s">
        <v>31</v>
      </c>
      <c r="J89" s="60"/>
      <c r="K89" s="60"/>
      <c r="L89" s="60"/>
      <c r="M89" s="60"/>
      <c r="N89" s="60"/>
      <c r="O89" s="60"/>
      <c r="P89" s="60">
        <f>612*F89</f>
        <v>4103582.4</v>
      </c>
      <c r="Q89" s="60"/>
      <c r="R89" s="60"/>
      <c r="S89" s="60"/>
      <c r="T89" s="60"/>
      <c r="U89" s="60"/>
      <c r="V89" s="60"/>
      <c r="W89" s="62">
        <f t="shared" si="77"/>
        <v>4103582.4</v>
      </c>
      <c r="X89" s="60" t="s">
        <v>17</v>
      </c>
      <c r="Y89" s="59">
        <v>0</v>
      </c>
      <c r="Z89" s="59">
        <v>0</v>
      </c>
      <c r="AA89" s="59">
        <v>0</v>
      </c>
      <c r="AB89" s="56">
        <f t="shared" si="29"/>
        <v>4103582.4</v>
      </c>
    </row>
    <row r="90" spans="1:28" s="36" customFormat="1" ht="52.5" customHeight="1" x14ac:dyDescent="0.25">
      <c r="A90" s="36">
        <v>2018</v>
      </c>
      <c r="B90" s="53">
        <f>IF(OR(E90=0,E90=""),"",COUNTA($E$21:E90))</f>
        <v>54</v>
      </c>
      <c r="C90" s="53" t="s">
        <v>365</v>
      </c>
      <c r="D90" s="82" t="s">
        <v>632</v>
      </c>
      <c r="E90" s="58">
        <v>1959</v>
      </c>
      <c r="F90" s="60">
        <v>555.70000000000005</v>
      </c>
      <c r="G90" s="60">
        <v>368.2</v>
      </c>
      <c r="H90" s="60">
        <v>0</v>
      </c>
      <c r="I90" s="60" t="s">
        <v>35</v>
      </c>
      <c r="J90" s="60">
        <f>431*F90</f>
        <v>239506.7</v>
      </c>
      <c r="K90" s="60">
        <f>500*F90</f>
        <v>277850</v>
      </c>
      <c r="L90" s="60"/>
      <c r="M90" s="60">
        <f>223*F90</f>
        <v>123921.1</v>
      </c>
      <c r="N90" s="60">
        <f>134*F90</f>
        <v>74463.8</v>
      </c>
      <c r="O90" s="60"/>
      <c r="P90" s="60">
        <f>2013*F90</f>
        <v>1118624.1000000001</v>
      </c>
      <c r="Q90" s="60"/>
      <c r="R90" s="60">
        <f>1657*F90</f>
        <v>920794.9</v>
      </c>
      <c r="S90" s="60">
        <f>134*F90</f>
        <v>74463.8</v>
      </c>
      <c r="T90" s="60"/>
      <c r="U90" s="60">
        <f>50*F90</f>
        <v>27785</v>
      </c>
      <c r="V90" s="60">
        <f>(J90+K90+L90+M90+N90+O90+P90+Q90+R90+S90+T90)*0.0214</f>
        <v>60553.96</v>
      </c>
      <c r="W90" s="62">
        <f t="shared" si="77"/>
        <v>2917963.36</v>
      </c>
      <c r="X90" s="60" t="s">
        <v>17</v>
      </c>
      <c r="Y90" s="59">
        <v>0</v>
      </c>
      <c r="Z90" s="59">
        <v>0</v>
      </c>
      <c r="AA90" s="59">
        <v>0</v>
      </c>
      <c r="AB90" s="56">
        <f t="shared" si="29"/>
        <v>2917963.36</v>
      </c>
    </row>
    <row r="91" spans="1:28" s="36" customFormat="1" ht="52.5" customHeight="1" x14ac:dyDescent="0.25">
      <c r="A91" s="36">
        <v>2018</v>
      </c>
      <c r="B91" s="53">
        <f>IF(OR(E91=0,E91=""),"",COUNTA($E$21:E91))</f>
        <v>55</v>
      </c>
      <c r="C91" s="53" t="s">
        <v>191</v>
      </c>
      <c r="D91" s="82" t="s">
        <v>633</v>
      </c>
      <c r="E91" s="58">
        <v>1960</v>
      </c>
      <c r="F91" s="60">
        <v>2818.3</v>
      </c>
      <c r="G91" s="60">
        <v>2401.4</v>
      </c>
      <c r="H91" s="60">
        <v>0</v>
      </c>
      <c r="I91" s="60" t="s">
        <v>36</v>
      </c>
      <c r="J91" s="60"/>
      <c r="K91" s="60"/>
      <c r="L91" s="60"/>
      <c r="M91" s="60"/>
      <c r="N91" s="60"/>
      <c r="O91" s="60"/>
      <c r="P91" s="60">
        <f>1679*F91</f>
        <v>4731925.7</v>
      </c>
      <c r="Q91" s="60"/>
      <c r="R91" s="60">
        <f>1525*F91</f>
        <v>4297907.5</v>
      </c>
      <c r="S91" s="60"/>
      <c r="T91" s="60"/>
      <c r="U91" s="60"/>
      <c r="V91" s="60"/>
      <c r="W91" s="62">
        <f t="shared" si="77"/>
        <v>9029833.1999999993</v>
      </c>
      <c r="X91" s="60" t="s">
        <v>17</v>
      </c>
      <c r="Y91" s="59">
        <v>0</v>
      </c>
      <c r="Z91" s="59">
        <v>0</v>
      </c>
      <c r="AA91" s="59">
        <v>0</v>
      </c>
      <c r="AB91" s="56">
        <f t="shared" si="29"/>
        <v>9029833.1999999993</v>
      </c>
    </row>
    <row r="92" spans="1:28" s="36" customFormat="1" ht="52.5" customHeight="1" x14ac:dyDescent="0.25">
      <c r="A92" s="36">
        <v>2018</v>
      </c>
      <c r="B92" s="53">
        <f>IF(OR(E92=0,E92=""),"",COUNTA($E$21:E92))</f>
        <v>56</v>
      </c>
      <c r="C92" s="53" t="s">
        <v>187</v>
      </c>
      <c r="D92" s="82" t="s">
        <v>634</v>
      </c>
      <c r="E92" s="58">
        <v>1959</v>
      </c>
      <c r="F92" s="60">
        <v>1374.03</v>
      </c>
      <c r="G92" s="60">
        <v>1236.53</v>
      </c>
      <c r="H92" s="60">
        <v>0</v>
      </c>
      <c r="I92" s="60" t="s">
        <v>34</v>
      </c>
      <c r="J92" s="60"/>
      <c r="K92" s="60"/>
      <c r="L92" s="60"/>
      <c r="M92" s="60"/>
      <c r="N92" s="60"/>
      <c r="O92" s="60"/>
      <c r="P92" s="60">
        <f t="shared" ref="P92:P93" si="108">2013*F92</f>
        <v>2765922.39</v>
      </c>
      <c r="Q92" s="60"/>
      <c r="R92" s="60">
        <f t="shared" ref="R92:R93" si="109">1657*F92</f>
        <v>2276767.71</v>
      </c>
      <c r="S92" s="60"/>
      <c r="T92" s="60"/>
      <c r="U92" s="60"/>
      <c r="V92" s="60"/>
      <c r="W92" s="62">
        <f t="shared" si="77"/>
        <v>5042690.0999999996</v>
      </c>
      <c r="X92" s="60" t="s">
        <v>17</v>
      </c>
      <c r="Y92" s="59">
        <v>0</v>
      </c>
      <c r="Z92" s="59">
        <v>0</v>
      </c>
      <c r="AA92" s="59">
        <v>0</v>
      </c>
      <c r="AB92" s="56">
        <f t="shared" si="29"/>
        <v>5042690.0999999996</v>
      </c>
    </row>
    <row r="93" spans="1:28" s="36" customFormat="1" ht="52.5" customHeight="1" x14ac:dyDescent="0.25">
      <c r="A93" s="36">
        <v>2018</v>
      </c>
      <c r="B93" s="53">
        <f>IF(OR(E93=0,E93=""),"",COUNTA($E$21:E93))</f>
        <v>57</v>
      </c>
      <c r="C93" s="53" t="s">
        <v>421</v>
      </c>
      <c r="D93" s="82" t="s">
        <v>635</v>
      </c>
      <c r="E93" s="58">
        <v>1958</v>
      </c>
      <c r="F93" s="60">
        <v>750.3</v>
      </c>
      <c r="G93" s="60">
        <v>479.2</v>
      </c>
      <c r="H93" s="60">
        <v>52.9</v>
      </c>
      <c r="I93" s="60" t="s">
        <v>35</v>
      </c>
      <c r="J93" s="60"/>
      <c r="K93" s="60"/>
      <c r="L93" s="60"/>
      <c r="M93" s="60"/>
      <c r="N93" s="60"/>
      <c r="O93" s="60"/>
      <c r="P93" s="60">
        <f t="shared" si="108"/>
        <v>1510353.9</v>
      </c>
      <c r="Q93" s="60"/>
      <c r="R93" s="60">
        <f t="shared" si="109"/>
        <v>1243247.1000000001</v>
      </c>
      <c r="S93" s="60"/>
      <c r="T93" s="60"/>
      <c r="U93" s="60"/>
      <c r="V93" s="60"/>
      <c r="W93" s="62">
        <f t="shared" si="77"/>
        <v>2753601</v>
      </c>
      <c r="X93" s="60" t="s">
        <v>17</v>
      </c>
      <c r="Y93" s="59">
        <v>0</v>
      </c>
      <c r="Z93" s="59">
        <v>0</v>
      </c>
      <c r="AA93" s="59">
        <v>0</v>
      </c>
      <c r="AB93" s="56">
        <f t="shared" si="29"/>
        <v>2753601</v>
      </c>
    </row>
    <row r="94" spans="1:28" s="36" customFormat="1" ht="52.5" customHeight="1" x14ac:dyDescent="0.25">
      <c r="A94" s="36">
        <v>2018</v>
      </c>
      <c r="B94" s="53">
        <f>IF(OR(E94=0,E94=""),"",COUNTA($E$21:E94))</f>
        <v>58</v>
      </c>
      <c r="C94" s="53" t="s">
        <v>237</v>
      </c>
      <c r="D94" s="82" t="s">
        <v>636</v>
      </c>
      <c r="E94" s="58">
        <v>1959</v>
      </c>
      <c r="F94" s="60">
        <v>2270.02</v>
      </c>
      <c r="G94" s="60">
        <v>1271.92</v>
      </c>
      <c r="H94" s="60">
        <v>998.1</v>
      </c>
      <c r="I94" s="60" t="s">
        <v>36</v>
      </c>
      <c r="J94" s="60"/>
      <c r="K94" s="60"/>
      <c r="L94" s="60"/>
      <c r="M94" s="60"/>
      <c r="N94" s="60"/>
      <c r="O94" s="60"/>
      <c r="P94" s="60">
        <f>1679*F94</f>
        <v>3811363.58</v>
      </c>
      <c r="Q94" s="60"/>
      <c r="R94" s="60">
        <f>1525*F94</f>
        <v>3461780.5</v>
      </c>
      <c r="S94" s="60"/>
      <c r="T94" s="60"/>
      <c r="U94" s="60"/>
      <c r="V94" s="60"/>
      <c r="W94" s="62">
        <f t="shared" si="77"/>
        <v>7273144.0800000001</v>
      </c>
      <c r="X94" s="60" t="s">
        <v>17</v>
      </c>
      <c r="Y94" s="59">
        <v>0</v>
      </c>
      <c r="Z94" s="59">
        <v>0</v>
      </c>
      <c r="AA94" s="59">
        <v>0</v>
      </c>
      <c r="AB94" s="56">
        <f t="shared" si="29"/>
        <v>7273144.0800000001</v>
      </c>
    </row>
    <row r="95" spans="1:28" s="36" customFormat="1" ht="52.5" customHeight="1" x14ac:dyDescent="0.25">
      <c r="A95" s="36">
        <v>2018</v>
      </c>
      <c r="B95" s="53">
        <f>IF(OR(E95=0,E95=""),"",COUNTA($E$21:E95))</f>
        <v>59</v>
      </c>
      <c r="C95" s="53" t="s">
        <v>277</v>
      </c>
      <c r="D95" s="82" t="s">
        <v>637</v>
      </c>
      <c r="E95" s="58">
        <v>1959</v>
      </c>
      <c r="F95" s="60">
        <v>1961.3</v>
      </c>
      <c r="G95" s="60">
        <v>1346.4</v>
      </c>
      <c r="H95" s="60">
        <v>0</v>
      </c>
      <c r="I95" s="60" t="s">
        <v>34</v>
      </c>
      <c r="J95" s="60"/>
      <c r="K95" s="60"/>
      <c r="L95" s="60"/>
      <c r="M95" s="60"/>
      <c r="N95" s="60"/>
      <c r="O95" s="60"/>
      <c r="P95" s="60">
        <f>2013*F95</f>
        <v>3948096.9</v>
      </c>
      <c r="Q95" s="60"/>
      <c r="R95" s="60">
        <f>1657*F95</f>
        <v>3249874.1</v>
      </c>
      <c r="S95" s="60"/>
      <c r="T95" s="60"/>
      <c r="U95" s="60"/>
      <c r="V95" s="60"/>
      <c r="W95" s="62">
        <f t="shared" si="77"/>
        <v>7197971</v>
      </c>
      <c r="X95" s="60" t="s">
        <v>17</v>
      </c>
      <c r="Y95" s="59">
        <v>0</v>
      </c>
      <c r="Z95" s="59">
        <v>0</v>
      </c>
      <c r="AA95" s="59">
        <v>0</v>
      </c>
      <c r="AB95" s="56">
        <f t="shared" si="29"/>
        <v>7197971</v>
      </c>
    </row>
    <row r="96" spans="1:28" s="36" customFormat="1" ht="52.5" customHeight="1" x14ac:dyDescent="0.25">
      <c r="A96" s="36">
        <v>2018</v>
      </c>
      <c r="B96" s="53">
        <f>IF(OR(E96=0,E96=""),"",COUNTA($E$21:E96))</f>
        <v>60</v>
      </c>
      <c r="C96" s="53" t="s">
        <v>280</v>
      </c>
      <c r="D96" s="82" t="s">
        <v>638</v>
      </c>
      <c r="E96" s="58">
        <v>1959</v>
      </c>
      <c r="F96" s="60">
        <v>3475</v>
      </c>
      <c r="G96" s="60">
        <v>2560.3000000000002</v>
      </c>
      <c r="H96" s="60">
        <v>33.1</v>
      </c>
      <c r="I96" s="60" t="s">
        <v>36</v>
      </c>
      <c r="J96" s="60"/>
      <c r="K96" s="60"/>
      <c r="L96" s="60"/>
      <c r="M96" s="60"/>
      <c r="N96" s="60"/>
      <c r="O96" s="60"/>
      <c r="P96" s="60">
        <f t="shared" ref="P96:P97" si="110">1679*F96</f>
        <v>5834525</v>
      </c>
      <c r="Q96" s="60"/>
      <c r="R96" s="60">
        <f t="shared" ref="R96:R97" si="111">1525*F96</f>
        <v>5299375</v>
      </c>
      <c r="S96" s="60"/>
      <c r="T96" s="60"/>
      <c r="U96" s="60"/>
      <c r="V96" s="60"/>
      <c r="W96" s="62">
        <f t="shared" si="77"/>
        <v>11133900</v>
      </c>
      <c r="X96" s="60" t="s">
        <v>17</v>
      </c>
      <c r="Y96" s="59">
        <v>0</v>
      </c>
      <c r="Z96" s="59">
        <v>0</v>
      </c>
      <c r="AA96" s="59">
        <v>0</v>
      </c>
      <c r="AB96" s="56">
        <f t="shared" si="29"/>
        <v>11133900</v>
      </c>
    </row>
    <row r="97" spans="1:28" s="36" customFormat="1" ht="52.5" customHeight="1" x14ac:dyDescent="0.25">
      <c r="A97" s="36">
        <v>2018</v>
      </c>
      <c r="B97" s="53">
        <f>IF(OR(E97=0,E97=""),"",COUNTA($E$21:E97))</f>
        <v>61</v>
      </c>
      <c r="C97" s="53" t="s">
        <v>281</v>
      </c>
      <c r="D97" s="82" t="s">
        <v>639</v>
      </c>
      <c r="E97" s="58">
        <v>1960</v>
      </c>
      <c r="F97" s="60">
        <v>2756.9</v>
      </c>
      <c r="G97" s="60">
        <v>2562.6999999999998</v>
      </c>
      <c r="H97" s="60">
        <v>0</v>
      </c>
      <c r="I97" s="60" t="s">
        <v>36</v>
      </c>
      <c r="J97" s="60"/>
      <c r="K97" s="60"/>
      <c r="L97" s="60"/>
      <c r="M97" s="60"/>
      <c r="N97" s="60"/>
      <c r="O97" s="60"/>
      <c r="P97" s="60">
        <f t="shared" si="110"/>
        <v>4628835.0999999996</v>
      </c>
      <c r="Q97" s="60"/>
      <c r="R97" s="60">
        <f t="shared" si="111"/>
        <v>4204272.5</v>
      </c>
      <c r="S97" s="60"/>
      <c r="T97" s="60"/>
      <c r="U97" s="60"/>
      <c r="V97" s="60"/>
      <c r="W97" s="62">
        <f t="shared" ref="W97:W123" si="112">V97+U97+T97+S97+R97+Q97+P97+O97+N97+M97+L97+K97+J97</f>
        <v>8833107.5999999996</v>
      </c>
      <c r="X97" s="60" t="s">
        <v>17</v>
      </c>
      <c r="Y97" s="59">
        <v>0</v>
      </c>
      <c r="Z97" s="59">
        <v>0</v>
      </c>
      <c r="AA97" s="59">
        <v>0</v>
      </c>
      <c r="AB97" s="56">
        <f t="shared" si="29"/>
        <v>8833107.5999999996</v>
      </c>
    </row>
    <row r="98" spans="1:28" s="36" customFormat="1" ht="52.5" customHeight="1" x14ac:dyDescent="0.25">
      <c r="A98" s="36">
        <v>2018</v>
      </c>
      <c r="B98" s="53">
        <f>IF(OR(E98=0,E98=""),"",COUNTA($E$21:E98))</f>
        <v>62</v>
      </c>
      <c r="C98" s="53" t="s">
        <v>219</v>
      </c>
      <c r="D98" s="82" t="s">
        <v>640</v>
      </c>
      <c r="E98" s="58">
        <v>1958</v>
      </c>
      <c r="F98" s="60">
        <v>1305.3</v>
      </c>
      <c r="G98" s="60">
        <v>915.87</v>
      </c>
      <c r="H98" s="60">
        <v>178</v>
      </c>
      <c r="I98" s="60" t="s">
        <v>34</v>
      </c>
      <c r="J98" s="60">
        <v>240355.58</v>
      </c>
      <c r="K98" s="60">
        <v>760073.44</v>
      </c>
      <c r="L98" s="60"/>
      <c r="M98" s="60">
        <v>219823.78</v>
      </c>
      <c r="N98" s="60">
        <v>58269.94</v>
      </c>
      <c r="O98" s="60"/>
      <c r="P98" s="60">
        <v>2512595.2000000002</v>
      </c>
      <c r="Q98" s="60">
        <v>123981.42</v>
      </c>
      <c r="R98" s="60">
        <v>2322486.04</v>
      </c>
      <c r="S98" s="60">
        <v>4844.29</v>
      </c>
      <c r="T98" s="60"/>
      <c r="U98" s="60">
        <f>50*F98</f>
        <v>65265</v>
      </c>
      <c r="V98" s="60">
        <f>(J98+K98+L98+M98+N98+O98+P98+Q98+R98+S98+T98)*0.0214</f>
        <v>133588</v>
      </c>
      <c r="W98" s="62">
        <f t="shared" si="112"/>
        <v>6441282.6900000004</v>
      </c>
      <c r="X98" s="60" t="s">
        <v>17</v>
      </c>
      <c r="Y98" s="59">
        <v>0</v>
      </c>
      <c r="Z98" s="59">
        <v>0</v>
      </c>
      <c r="AA98" s="59">
        <v>0</v>
      </c>
      <c r="AB98" s="56">
        <f t="shared" si="29"/>
        <v>6441282.6900000004</v>
      </c>
    </row>
    <row r="99" spans="1:28" s="36" customFormat="1" ht="52.5" customHeight="1" x14ac:dyDescent="0.25">
      <c r="A99" s="36">
        <v>2018</v>
      </c>
      <c r="B99" s="53">
        <f>IF(OR(E99=0,E99=""),"",COUNTA($E$21:E99))</f>
        <v>63</v>
      </c>
      <c r="C99" s="53" t="s">
        <v>398</v>
      </c>
      <c r="D99" s="82" t="s">
        <v>641</v>
      </c>
      <c r="E99" s="58">
        <v>1978</v>
      </c>
      <c r="F99" s="60">
        <v>3442.9</v>
      </c>
      <c r="G99" s="60">
        <v>2608.9</v>
      </c>
      <c r="H99" s="60">
        <v>791.1</v>
      </c>
      <c r="I99" s="60" t="s">
        <v>33</v>
      </c>
      <c r="J99" s="60">
        <f>391*F99</f>
        <v>1346173.9</v>
      </c>
      <c r="K99" s="60">
        <f>815*F99</f>
        <v>2805963.5</v>
      </c>
      <c r="L99" s="60"/>
      <c r="M99" s="60">
        <f>326*F99</f>
        <v>1122385.3999999999</v>
      </c>
      <c r="N99" s="60"/>
      <c r="O99" s="60"/>
      <c r="P99" s="60">
        <f>1679*F99</f>
        <v>5780629.0999999996</v>
      </c>
      <c r="Q99" s="60"/>
      <c r="R99" s="60"/>
      <c r="S99" s="60"/>
      <c r="T99" s="60"/>
      <c r="U99" s="60">
        <f>50*F99</f>
        <v>172145</v>
      </c>
      <c r="V99" s="61">
        <f>(J99+K99+L99+M99+N99+O99+P99+Q99+R99+S99+T99)*0.0214</f>
        <v>236580.25</v>
      </c>
      <c r="W99" s="62">
        <f t="shared" si="112"/>
        <v>11463877.15</v>
      </c>
      <c r="X99" s="60" t="s">
        <v>17</v>
      </c>
      <c r="Y99" s="59">
        <v>0</v>
      </c>
      <c r="Z99" s="59">
        <v>0</v>
      </c>
      <c r="AA99" s="59">
        <v>0</v>
      </c>
      <c r="AB99" s="56">
        <f t="shared" si="29"/>
        <v>11463877.15</v>
      </c>
    </row>
    <row r="100" spans="1:28" s="36" customFormat="1" ht="52.5" customHeight="1" x14ac:dyDescent="0.25">
      <c r="A100" s="36">
        <v>2018</v>
      </c>
      <c r="B100" s="53">
        <f>IF(OR(E100=0,E100=""),"",COUNTA($E$21:E100))</f>
        <v>64</v>
      </c>
      <c r="C100" s="53" t="s">
        <v>290</v>
      </c>
      <c r="D100" s="82" t="s">
        <v>642</v>
      </c>
      <c r="E100" s="58">
        <v>1960</v>
      </c>
      <c r="F100" s="60">
        <v>193.1</v>
      </c>
      <c r="G100" s="60">
        <v>193.1</v>
      </c>
      <c r="H100" s="60">
        <v>0</v>
      </c>
      <c r="I100" s="60" t="s">
        <v>37</v>
      </c>
      <c r="J100" s="60">
        <f t="shared" ref="J100:J105" si="113">431*F100</f>
        <v>83226.100000000006</v>
      </c>
      <c r="K100" s="60"/>
      <c r="L100" s="60"/>
      <c r="M100" s="60"/>
      <c r="N100" s="60"/>
      <c r="O100" s="60"/>
      <c r="P100" s="60">
        <f t="shared" ref="P100:P105" si="114">2013*F100</f>
        <v>388710.3</v>
      </c>
      <c r="Q100" s="60"/>
      <c r="R100" s="60">
        <f t="shared" ref="R100:R105" si="115">1657*F100</f>
        <v>319966.7</v>
      </c>
      <c r="S100" s="60">
        <f t="shared" ref="S100:S105" si="116">134*F100</f>
        <v>25875.4</v>
      </c>
      <c r="T100" s="60"/>
      <c r="U100" s="60">
        <f t="shared" ref="U100:U105" si="117">50*F100</f>
        <v>9655</v>
      </c>
      <c r="V100" s="60">
        <f t="shared" ref="V100:V117" si="118">(J100+K100+L100+M100+N100+O100+P100+Q100+R100+S100+T100)*0.0214</f>
        <v>17500.46</v>
      </c>
      <c r="W100" s="62">
        <f t="shared" si="112"/>
        <v>844933.96</v>
      </c>
      <c r="X100" s="60" t="s">
        <v>17</v>
      </c>
      <c r="Y100" s="59">
        <v>0</v>
      </c>
      <c r="Z100" s="59">
        <v>0</v>
      </c>
      <c r="AA100" s="59">
        <v>0</v>
      </c>
      <c r="AB100" s="56">
        <f t="shared" si="29"/>
        <v>844933.96</v>
      </c>
    </row>
    <row r="101" spans="1:28" s="36" customFormat="1" ht="52.5" customHeight="1" x14ac:dyDescent="0.25">
      <c r="A101" s="36">
        <v>2018</v>
      </c>
      <c r="B101" s="53">
        <f>IF(OR(E101=0,E101=""),"",COUNTA($E$21:E101))</f>
        <v>65</v>
      </c>
      <c r="C101" s="53" t="s">
        <v>189</v>
      </c>
      <c r="D101" s="82" t="s">
        <v>643</v>
      </c>
      <c r="E101" s="58">
        <v>1959</v>
      </c>
      <c r="F101" s="60">
        <v>620.5</v>
      </c>
      <c r="G101" s="60">
        <v>572.75</v>
      </c>
      <c r="H101" s="60">
        <v>0</v>
      </c>
      <c r="I101" s="60" t="s">
        <v>35</v>
      </c>
      <c r="J101" s="60">
        <f t="shared" si="113"/>
        <v>267435.5</v>
      </c>
      <c r="K101" s="60">
        <f t="shared" ref="K101" si="119">500*F101</f>
        <v>310250</v>
      </c>
      <c r="L101" s="60"/>
      <c r="M101" s="60">
        <f t="shared" ref="M101:M104" si="120">223*F101</f>
        <v>138371.5</v>
      </c>
      <c r="N101" s="60">
        <f t="shared" ref="N101:N104" si="121">134*F101</f>
        <v>83147</v>
      </c>
      <c r="O101" s="60"/>
      <c r="P101" s="60">
        <f t="shared" si="114"/>
        <v>1249066.5</v>
      </c>
      <c r="Q101" s="60"/>
      <c r="R101" s="60">
        <f t="shared" si="115"/>
        <v>1028168.5</v>
      </c>
      <c r="S101" s="60">
        <f t="shared" si="116"/>
        <v>83147</v>
      </c>
      <c r="T101" s="60"/>
      <c r="U101" s="60">
        <f t="shared" si="117"/>
        <v>31025</v>
      </c>
      <c r="V101" s="60">
        <f t="shared" si="118"/>
        <v>67615.14</v>
      </c>
      <c r="W101" s="62">
        <f t="shared" si="112"/>
        <v>3258226.14</v>
      </c>
      <c r="X101" s="60" t="s">
        <v>17</v>
      </c>
      <c r="Y101" s="59">
        <v>0</v>
      </c>
      <c r="Z101" s="59">
        <v>0</v>
      </c>
      <c r="AA101" s="59">
        <v>0</v>
      </c>
      <c r="AB101" s="56">
        <f t="shared" si="29"/>
        <v>3258226.14</v>
      </c>
    </row>
    <row r="102" spans="1:28" s="36" customFormat="1" ht="52.5" customHeight="1" x14ac:dyDescent="0.25">
      <c r="A102" s="36">
        <v>2018</v>
      </c>
      <c r="B102" s="53">
        <f>IF(OR(E102=0,E102=""),"",COUNTA($E$21:E102))</f>
        <v>66</v>
      </c>
      <c r="C102" s="53" t="s">
        <v>367</v>
      </c>
      <c r="D102" s="82" t="s">
        <v>644</v>
      </c>
      <c r="E102" s="58">
        <v>1958</v>
      </c>
      <c r="F102" s="60">
        <v>314.5</v>
      </c>
      <c r="G102" s="60">
        <v>266.5</v>
      </c>
      <c r="H102" s="60">
        <v>0</v>
      </c>
      <c r="I102" s="60" t="s">
        <v>35</v>
      </c>
      <c r="J102" s="60">
        <f t="shared" si="113"/>
        <v>135549.5</v>
      </c>
      <c r="K102" s="60"/>
      <c r="L102" s="60"/>
      <c r="M102" s="60">
        <f t="shared" si="120"/>
        <v>70133.5</v>
      </c>
      <c r="N102" s="60">
        <f t="shared" si="121"/>
        <v>42143</v>
      </c>
      <c r="O102" s="60"/>
      <c r="P102" s="60">
        <f t="shared" si="114"/>
        <v>633088.5</v>
      </c>
      <c r="Q102" s="60"/>
      <c r="R102" s="60">
        <f t="shared" si="115"/>
        <v>521126.5</v>
      </c>
      <c r="S102" s="60">
        <f t="shared" si="116"/>
        <v>42143</v>
      </c>
      <c r="T102" s="60"/>
      <c r="U102" s="60">
        <f t="shared" si="117"/>
        <v>15725</v>
      </c>
      <c r="V102" s="60">
        <f t="shared" si="118"/>
        <v>30905.54</v>
      </c>
      <c r="W102" s="62">
        <f t="shared" si="112"/>
        <v>1490814.54</v>
      </c>
      <c r="X102" s="60" t="s">
        <v>17</v>
      </c>
      <c r="Y102" s="59">
        <v>0</v>
      </c>
      <c r="Z102" s="59">
        <v>0</v>
      </c>
      <c r="AA102" s="59">
        <v>0</v>
      </c>
      <c r="AB102" s="56">
        <f t="shared" si="29"/>
        <v>1490814.54</v>
      </c>
    </row>
    <row r="103" spans="1:28" s="36" customFormat="1" ht="52.5" customHeight="1" x14ac:dyDescent="0.25">
      <c r="A103" s="36">
        <v>2018</v>
      </c>
      <c r="B103" s="53">
        <f>IF(OR(E103=0,E103=""),"",COUNTA($E$21:E103))</f>
        <v>67</v>
      </c>
      <c r="C103" s="53" t="s">
        <v>393</v>
      </c>
      <c r="D103" s="82" t="s">
        <v>645</v>
      </c>
      <c r="E103" s="58">
        <v>1959</v>
      </c>
      <c r="F103" s="60">
        <v>699.6</v>
      </c>
      <c r="G103" s="60">
        <v>558.6</v>
      </c>
      <c r="H103" s="60">
        <v>0</v>
      </c>
      <c r="I103" s="60" t="s">
        <v>34</v>
      </c>
      <c r="J103" s="60">
        <f t="shared" si="113"/>
        <v>301527.59999999998</v>
      </c>
      <c r="K103" s="60">
        <f t="shared" ref="K103:K104" si="122">500*F103</f>
        <v>349800</v>
      </c>
      <c r="L103" s="60"/>
      <c r="M103" s="60">
        <f t="shared" si="120"/>
        <v>156010.79999999999</v>
      </c>
      <c r="N103" s="60">
        <f t="shared" si="121"/>
        <v>93746.4</v>
      </c>
      <c r="O103" s="60"/>
      <c r="P103" s="60">
        <f t="shared" si="114"/>
        <v>1408294.8</v>
      </c>
      <c r="Q103" s="60">
        <f t="shared" ref="Q103" si="123">191*F103</f>
        <v>133623.6</v>
      </c>
      <c r="R103" s="60">
        <f t="shared" si="115"/>
        <v>1159237.2</v>
      </c>
      <c r="S103" s="60">
        <f t="shared" si="116"/>
        <v>93746.4</v>
      </c>
      <c r="T103" s="60"/>
      <c r="U103" s="60">
        <f t="shared" si="117"/>
        <v>34980</v>
      </c>
      <c r="V103" s="60">
        <f t="shared" si="118"/>
        <v>79094.12</v>
      </c>
      <c r="W103" s="62">
        <f t="shared" si="112"/>
        <v>3810060.92</v>
      </c>
      <c r="X103" s="60" t="s">
        <v>17</v>
      </c>
      <c r="Y103" s="59">
        <v>0</v>
      </c>
      <c r="Z103" s="59">
        <v>0</v>
      </c>
      <c r="AA103" s="59">
        <v>0</v>
      </c>
      <c r="AB103" s="56">
        <f t="shared" si="29"/>
        <v>3810060.92</v>
      </c>
    </row>
    <row r="104" spans="1:28" s="36" customFormat="1" ht="52.5" customHeight="1" x14ac:dyDescent="0.25">
      <c r="A104" s="36">
        <v>2018</v>
      </c>
      <c r="B104" s="53">
        <f>IF(OR(E104=0,E104=""),"",COUNTA($E$21:E104))</f>
        <v>68</v>
      </c>
      <c r="C104" s="53" t="s">
        <v>188</v>
      </c>
      <c r="D104" s="82" t="s">
        <v>646</v>
      </c>
      <c r="E104" s="58">
        <v>1958</v>
      </c>
      <c r="F104" s="60">
        <v>971.2</v>
      </c>
      <c r="G104" s="60">
        <v>550.6</v>
      </c>
      <c r="H104" s="60">
        <v>0</v>
      </c>
      <c r="I104" s="60" t="s">
        <v>35</v>
      </c>
      <c r="J104" s="60">
        <f t="shared" si="113"/>
        <v>418587.2</v>
      </c>
      <c r="K104" s="60">
        <f t="shared" si="122"/>
        <v>485600</v>
      </c>
      <c r="L104" s="60"/>
      <c r="M104" s="60">
        <f t="shared" si="120"/>
        <v>216577.6</v>
      </c>
      <c r="N104" s="60">
        <f t="shared" si="121"/>
        <v>130140.8</v>
      </c>
      <c r="O104" s="60"/>
      <c r="P104" s="60">
        <f t="shared" si="114"/>
        <v>1955025.6</v>
      </c>
      <c r="Q104" s="60"/>
      <c r="R104" s="60">
        <f t="shared" si="115"/>
        <v>1609278.4</v>
      </c>
      <c r="S104" s="60">
        <f t="shared" si="116"/>
        <v>130140.8</v>
      </c>
      <c r="T104" s="60"/>
      <c r="U104" s="60">
        <f t="shared" si="117"/>
        <v>48560</v>
      </c>
      <c r="V104" s="60">
        <f t="shared" si="118"/>
        <v>105830.5</v>
      </c>
      <c r="W104" s="62">
        <f t="shared" si="112"/>
        <v>5099740.9000000004</v>
      </c>
      <c r="X104" s="60" t="s">
        <v>17</v>
      </c>
      <c r="Y104" s="59">
        <v>0</v>
      </c>
      <c r="Z104" s="59">
        <v>0</v>
      </c>
      <c r="AA104" s="59">
        <v>0</v>
      </c>
      <c r="AB104" s="56">
        <f t="shared" si="29"/>
        <v>5099740.9000000004</v>
      </c>
    </row>
    <row r="105" spans="1:28" s="36" customFormat="1" ht="52.5" customHeight="1" x14ac:dyDescent="0.25">
      <c r="A105" s="36">
        <v>2018</v>
      </c>
      <c r="B105" s="53">
        <f>IF(OR(E105=0,E105=""),"",COUNTA($E$21:E105))</f>
        <v>69</v>
      </c>
      <c r="C105" s="53" t="s">
        <v>408</v>
      </c>
      <c r="D105" s="82" t="s">
        <v>647</v>
      </c>
      <c r="E105" s="58">
        <v>1959</v>
      </c>
      <c r="F105" s="60">
        <v>404.1</v>
      </c>
      <c r="G105" s="60">
        <v>250</v>
      </c>
      <c r="H105" s="60">
        <v>50</v>
      </c>
      <c r="I105" s="60" t="s">
        <v>35</v>
      </c>
      <c r="J105" s="60">
        <f t="shared" si="113"/>
        <v>174167.1</v>
      </c>
      <c r="K105" s="60">
        <f t="shared" ref="K105" si="124">500*F105</f>
        <v>202050</v>
      </c>
      <c r="L105" s="60"/>
      <c r="M105" s="60">
        <f t="shared" ref="M105" si="125">223*F105</f>
        <v>90114.3</v>
      </c>
      <c r="N105" s="60">
        <f t="shared" ref="N105" si="126">134*F105</f>
        <v>54149.4</v>
      </c>
      <c r="O105" s="60"/>
      <c r="P105" s="60">
        <f t="shared" si="114"/>
        <v>813453.3</v>
      </c>
      <c r="Q105" s="60"/>
      <c r="R105" s="60">
        <f t="shared" si="115"/>
        <v>669593.69999999995</v>
      </c>
      <c r="S105" s="60">
        <f t="shared" si="116"/>
        <v>54149.4</v>
      </c>
      <c r="T105" s="60"/>
      <c r="U105" s="60">
        <f t="shared" si="117"/>
        <v>20205</v>
      </c>
      <c r="V105" s="60">
        <f t="shared" si="118"/>
        <v>44034.29</v>
      </c>
      <c r="W105" s="62">
        <f t="shared" si="112"/>
        <v>2121916.4900000002</v>
      </c>
      <c r="X105" s="60" t="s">
        <v>17</v>
      </c>
      <c r="Y105" s="59">
        <v>0</v>
      </c>
      <c r="Z105" s="59">
        <v>0</v>
      </c>
      <c r="AA105" s="59">
        <v>0</v>
      </c>
      <c r="AB105" s="56">
        <f t="shared" si="29"/>
        <v>2121916.4900000002</v>
      </c>
    </row>
    <row r="106" spans="1:28" s="36" customFormat="1" ht="52.5" customHeight="1" x14ac:dyDescent="0.25">
      <c r="A106" s="36">
        <v>2018</v>
      </c>
      <c r="B106" s="53">
        <f>IF(OR(E106=0,E106=""),"",COUNTA($E$21:E106))</f>
        <v>70</v>
      </c>
      <c r="C106" s="53" t="s">
        <v>353</v>
      </c>
      <c r="D106" s="82" t="s">
        <v>648</v>
      </c>
      <c r="E106" s="58">
        <v>1958</v>
      </c>
      <c r="F106" s="60">
        <v>3723.51</v>
      </c>
      <c r="G106" s="60">
        <v>2266</v>
      </c>
      <c r="H106" s="60">
        <v>423.3</v>
      </c>
      <c r="I106" s="60" t="s">
        <v>36</v>
      </c>
      <c r="J106" s="60">
        <f>391*F106</f>
        <v>1455892.41</v>
      </c>
      <c r="K106" s="60">
        <v>1726567.55</v>
      </c>
      <c r="L106" s="60"/>
      <c r="M106" s="60">
        <v>939322.79</v>
      </c>
      <c r="N106" s="60">
        <v>96710.89</v>
      </c>
      <c r="O106" s="60"/>
      <c r="P106" s="60">
        <v>5294878.47</v>
      </c>
      <c r="Q106" s="60">
        <f>133*F106</f>
        <v>495226.83</v>
      </c>
      <c r="R106" s="60">
        <f>1525*F106</f>
        <v>5678352.75</v>
      </c>
      <c r="S106" s="60">
        <f>171*F106</f>
        <v>636720.21</v>
      </c>
      <c r="T106" s="60"/>
      <c r="U106" s="60">
        <f>50*F106</f>
        <v>186175.5</v>
      </c>
      <c r="V106" s="61">
        <f>(J106+K106+L106+M106+N106+O106+P106+Q106+R106+S106+T106)*0.0214</f>
        <v>349326.58</v>
      </c>
      <c r="W106" s="62">
        <f t="shared" si="112"/>
        <v>16859173.98</v>
      </c>
      <c r="X106" s="60" t="s">
        <v>17</v>
      </c>
      <c r="Y106" s="59">
        <v>0</v>
      </c>
      <c r="Z106" s="59">
        <v>0</v>
      </c>
      <c r="AA106" s="59">
        <v>0</v>
      </c>
      <c r="AB106" s="56">
        <f t="shared" si="29"/>
        <v>16859173.98</v>
      </c>
    </row>
    <row r="107" spans="1:28" s="36" customFormat="1" ht="52.5" customHeight="1" x14ac:dyDescent="0.25">
      <c r="A107" s="36">
        <v>2018</v>
      </c>
      <c r="B107" s="53">
        <f>IF(OR(E107=0,E107=""),"",COUNTA($E$21:E107))</f>
        <v>71</v>
      </c>
      <c r="C107" s="53" t="s">
        <v>371</v>
      </c>
      <c r="D107" s="82" t="s">
        <v>649</v>
      </c>
      <c r="E107" s="58">
        <v>1959</v>
      </c>
      <c r="F107" s="60">
        <v>1312.1</v>
      </c>
      <c r="G107" s="60">
        <v>1176.8</v>
      </c>
      <c r="H107" s="60">
        <v>0</v>
      </c>
      <c r="I107" s="60" t="s">
        <v>34</v>
      </c>
      <c r="J107" s="60">
        <f t="shared" ref="J107:J108" si="127">431*F107</f>
        <v>565515.1</v>
      </c>
      <c r="K107" s="60">
        <f t="shared" ref="K107" si="128">500*F107</f>
        <v>656050</v>
      </c>
      <c r="L107" s="60"/>
      <c r="M107" s="60">
        <f t="shared" ref="M107:M108" si="129">223*F107</f>
        <v>292598.3</v>
      </c>
      <c r="N107" s="60">
        <f t="shared" ref="N107:N108" si="130">134*F107</f>
        <v>175821.4</v>
      </c>
      <c r="O107" s="60"/>
      <c r="P107" s="60"/>
      <c r="Q107" s="60">
        <f t="shared" ref="Q107" si="131">191*F107</f>
        <v>250611.1</v>
      </c>
      <c r="R107" s="60">
        <f t="shared" ref="R107:R108" si="132">1657*F107</f>
        <v>2174149.7000000002</v>
      </c>
      <c r="S107" s="60">
        <f t="shared" ref="S107:S108" si="133">134*F107</f>
        <v>175821.4</v>
      </c>
      <c r="T107" s="60"/>
      <c r="U107" s="60">
        <f t="shared" ref="U107:U117" si="134">50*F107</f>
        <v>65605</v>
      </c>
      <c r="V107" s="60">
        <f t="shared" si="118"/>
        <v>91818.13</v>
      </c>
      <c r="W107" s="62">
        <f t="shared" si="112"/>
        <v>4447990.13</v>
      </c>
      <c r="X107" s="60" t="s">
        <v>17</v>
      </c>
      <c r="Y107" s="59">
        <v>0</v>
      </c>
      <c r="Z107" s="59">
        <v>0</v>
      </c>
      <c r="AA107" s="59">
        <v>0</v>
      </c>
      <c r="AB107" s="56">
        <f t="shared" si="29"/>
        <v>4447990.13</v>
      </c>
    </row>
    <row r="108" spans="1:28" s="36" customFormat="1" ht="52.5" customHeight="1" x14ac:dyDescent="0.25">
      <c r="A108" s="36">
        <v>2018</v>
      </c>
      <c r="B108" s="53">
        <f>IF(OR(E108=0,E108=""),"",COUNTA($E$21:E108))</f>
        <v>72</v>
      </c>
      <c r="C108" s="53" t="s">
        <v>195</v>
      </c>
      <c r="D108" s="82" t="s">
        <v>650</v>
      </c>
      <c r="E108" s="58">
        <v>1959</v>
      </c>
      <c r="F108" s="60">
        <v>431.8</v>
      </c>
      <c r="G108" s="60">
        <v>390.9</v>
      </c>
      <c r="H108" s="60">
        <v>0</v>
      </c>
      <c r="I108" s="60" t="s">
        <v>35</v>
      </c>
      <c r="J108" s="60">
        <f t="shared" si="127"/>
        <v>186105.8</v>
      </c>
      <c r="K108" s="60"/>
      <c r="L108" s="60"/>
      <c r="M108" s="60">
        <f t="shared" si="129"/>
        <v>96291.4</v>
      </c>
      <c r="N108" s="60">
        <f t="shared" si="130"/>
        <v>57861.2</v>
      </c>
      <c r="O108" s="60"/>
      <c r="P108" s="60">
        <f t="shared" ref="P108" si="135">2013*F108</f>
        <v>869213.4</v>
      </c>
      <c r="Q108" s="60"/>
      <c r="R108" s="60">
        <f t="shared" si="132"/>
        <v>715492.6</v>
      </c>
      <c r="S108" s="60">
        <f t="shared" si="133"/>
        <v>57861.2</v>
      </c>
      <c r="T108" s="60"/>
      <c r="U108" s="60">
        <f t="shared" si="134"/>
        <v>21590</v>
      </c>
      <c r="V108" s="60">
        <f t="shared" si="118"/>
        <v>42432.47</v>
      </c>
      <c r="W108" s="62">
        <f t="shared" si="112"/>
        <v>2046848.07</v>
      </c>
      <c r="X108" s="60" t="s">
        <v>17</v>
      </c>
      <c r="Y108" s="59">
        <v>0</v>
      </c>
      <c r="Z108" s="59">
        <v>0</v>
      </c>
      <c r="AA108" s="59">
        <v>0</v>
      </c>
      <c r="AB108" s="56">
        <f t="shared" si="29"/>
        <v>2046848.07</v>
      </c>
    </row>
    <row r="109" spans="1:28" s="36" customFormat="1" ht="52.5" customHeight="1" x14ac:dyDescent="0.25">
      <c r="A109" s="36">
        <v>2018</v>
      </c>
      <c r="B109" s="53">
        <f>IF(OR(E109=0,E109=""),"",COUNTA($E$21:E109))</f>
        <v>73</v>
      </c>
      <c r="C109" s="53" t="s">
        <v>420</v>
      </c>
      <c r="D109" s="82" t="s">
        <v>651</v>
      </c>
      <c r="E109" s="58">
        <v>1960</v>
      </c>
      <c r="F109" s="60">
        <v>2474.84</v>
      </c>
      <c r="G109" s="60">
        <v>1604.24</v>
      </c>
      <c r="H109" s="60">
        <v>636</v>
      </c>
      <c r="I109" s="60" t="s">
        <v>36</v>
      </c>
      <c r="J109" s="60">
        <f t="shared" ref="J109:J111" si="136">391*F109</f>
        <v>967662.44</v>
      </c>
      <c r="K109" s="60">
        <f t="shared" ref="K109:K111" si="137">815*F109</f>
        <v>2016994.6</v>
      </c>
      <c r="L109" s="60"/>
      <c r="M109" s="60">
        <f t="shared" ref="M109:M111" si="138">326*F109</f>
        <v>806797.84</v>
      </c>
      <c r="N109" s="60">
        <f t="shared" ref="N109:N111" si="139">194*F109</f>
        <v>480118.96</v>
      </c>
      <c r="O109" s="60"/>
      <c r="P109" s="60">
        <f t="shared" ref="P109:P111" si="140">1679*F109</f>
        <v>4155256.36</v>
      </c>
      <c r="Q109" s="60">
        <f t="shared" ref="Q109:Q111" si="141">133*F109</f>
        <v>329153.71999999997</v>
      </c>
      <c r="R109" s="60">
        <f t="shared" ref="R109:R111" si="142">1525*F109</f>
        <v>3774131</v>
      </c>
      <c r="S109" s="60">
        <f t="shared" ref="S109:S111" si="143">171*F109</f>
        <v>423197.64</v>
      </c>
      <c r="T109" s="60"/>
      <c r="U109" s="60">
        <f t="shared" si="134"/>
        <v>123742</v>
      </c>
      <c r="V109" s="61">
        <f t="shared" si="118"/>
        <v>277200.89</v>
      </c>
      <c r="W109" s="62">
        <f t="shared" si="112"/>
        <v>13354255.449999999</v>
      </c>
      <c r="X109" s="60" t="s">
        <v>17</v>
      </c>
      <c r="Y109" s="59">
        <v>0</v>
      </c>
      <c r="Z109" s="59">
        <v>0</v>
      </c>
      <c r="AA109" s="59">
        <v>0</v>
      </c>
      <c r="AB109" s="56">
        <f t="shared" si="29"/>
        <v>13354255.449999999</v>
      </c>
    </row>
    <row r="110" spans="1:28" s="36" customFormat="1" ht="52.5" customHeight="1" x14ac:dyDescent="0.25">
      <c r="A110" s="36">
        <v>2018</v>
      </c>
      <c r="B110" s="53">
        <f>IF(OR(E110=0,E110=""),"",COUNTA($E$21:E110))</f>
        <v>74</v>
      </c>
      <c r="C110" s="53" t="s">
        <v>220</v>
      </c>
      <c r="D110" s="82" t="s">
        <v>652</v>
      </c>
      <c r="E110" s="58">
        <v>1960</v>
      </c>
      <c r="F110" s="60">
        <v>1985.3</v>
      </c>
      <c r="G110" s="60">
        <v>874.27</v>
      </c>
      <c r="H110" s="60">
        <v>281.91000000000003</v>
      </c>
      <c r="I110" s="60" t="s">
        <v>36</v>
      </c>
      <c r="J110" s="60">
        <f t="shared" si="136"/>
        <v>776252.3</v>
      </c>
      <c r="K110" s="60">
        <f t="shared" si="137"/>
        <v>1618019.5</v>
      </c>
      <c r="L110" s="60"/>
      <c r="M110" s="60">
        <f t="shared" si="138"/>
        <v>647207.80000000005</v>
      </c>
      <c r="N110" s="60">
        <f t="shared" si="139"/>
        <v>385148.2</v>
      </c>
      <c r="O110" s="60"/>
      <c r="P110" s="60">
        <f t="shared" si="140"/>
        <v>3333318.7</v>
      </c>
      <c r="Q110" s="60">
        <f t="shared" si="141"/>
        <v>264044.90000000002</v>
      </c>
      <c r="R110" s="60">
        <f t="shared" si="142"/>
        <v>3027582.5</v>
      </c>
      <c r="S110" s="60">
        <f t="shared" si="143"/>
        <v>339486.3</v>
      </c>
      <c r="T110" s="60"/>
      <c r="U110" s="60">
        <f t="shared" si="134"/>
        <v>99265</v>
      </c>
      <c r="V110" s="61">
        <f t="shared" si="118"/>
        <v>222368.69</v>
      </c>
      <c r="W110" s="62">
        <f t="shared" si="112"/>
        <v>10712693.890000001</v>
      </c>
      <c r="X110" s="60" t="s">
        <v>17</v>
      </c>
      <c r="Y110" s="59">
        <v>0</v>
      </c>
      <c r="Z110" s="59">
        <v>0</v>
      </c>
      <c r="AA110" s="59">
        <v>0</v>
      </c>
      <c r="AB110" s="56">
        <f t="shared" si="29"/>
        <v>10712693.890000001</v>
      </c>
    </row>
    <row r="111" spans="1:28" s="36" customFormat="1" ht="52.5" customHeight="1" x14ac:dyDescent="0.25">
      <c r="A111" s="36">
        <v>2018</v>
      </c>
      <c r="B111" s="53">
        <f>IF(OR(E111=0,E111=""),"",COUNTA($E$21:E111))</f>
        <v>75</v>
      </c>
      <c r="C111" s="53" t="s">
        <v>362</v>
      </c>
      <c r="D111" s="82" t="s">
        <v>653</v>
      </c>
      <c r="E111" s="58">
        <v>1961</v>
      </c>
      <c r="F111" s="60">
        <v>2110.67</v>
      </c>
      <c r="G111" s="60">
        <v>1422.57</v>
      </c>
      <c r="H111" s="60">
        <v>0</v>
      </c>
      <c r="I111" s="60" t="s">
        <v>36</v>
      </c>
      <c r="J111" s="60">
        <f t="shared" si="136"/>
        <v>825271.97</v>
      </c>
      <c r="K111" s="60">
        <f t="shared" si="137"/>
        <v>1720196.05</v>
      </c>
      <c r="L111" s="60"/>
      <c r="M111" s="60">
        <f t="shared" si="138"/>
        <v>688078.42</v>
      </c>
      <c r="N111" s="60">
        <f t="shared" si="139"/>
        <v>409469.98</v>
      </c>
      <c r="O111" s="60"/>
      <c r="P111" s="60">
        <f t="shared" si="140"/>
        <v>3543814.93</v>
      </c>
      <c r="Q111" s="60">
        <f t="shared" si="141"/>
        <v>280719.11</v>
      </c>
      <c r="R111" s="60">
        <f t="shared" si="142"/>
        <v>3218771.75</v>
      </c>
      <c r="S111" s="60">
        <f t="shared" si="143"/>
        <v>360924.57</v>
      </c>
      <c r="T111" s="60"/>
      <c r="U111" s="60">
        <f t="shared" si="134"/>
        <v>105533.5</v>
      </c>
      <c r="V111" s="61">
        <f t="shared" si="118"/>
        <v>236411.08</v>
      </c>
      <c r="W111" s="62">
        <f t="shared" si="112"/>
        <v>11389191.359999999</v>
      </c>
      <c r="X111" s="60" t="s">
        <v>17</v>
      </c>
      <c r="Y111" s="59">
        <v>0</v>
      </c>
      <c r="Z111" s="59">
        <v>0</v>
      </c>
      <c r="AA111" s="59">
        <v>0</v>
      </c>
      <c r="AB111" s="56">
        <f t="shared" si="29"/>
        <v>11389191.359999999</v>
      </c>
    </row>
    <row r="112" spans="1:28" s="36" customFormat="1" ht="52.5" customHeight="1" x14ac:dyDescent="0.25">
      <c r="A112" s="36">
        <v>2018</v>
      </c>
      <c r="B112" s="53">
        <f>IF(OR(E112=0,E112=""),"",COUNTA($E$21:E112))</f>
        <v>76</v>
      </c>
      <c r="C112" s="53" t="s">
        <v>305</v>
      </c>
      <c r="D112" s="82" t="s">
        <v>654</v>
      </c>
      <c r="E112" s="58">
        <v>1961</v>
      </c>
      <c r="F112" s="60">
        <v>451.9</v>
      </c>
      <c r="G112" s="60">
        <v>179.7</v>
      </c>
      <c r="H112" s="60">
        <v>0</v>
      </c>
      <c r="I112" s="60" t="s">
        <v>35</v>
      </c>
      <c r="J112" s="60">
        <f t="shared" ref="J112:J113" si="144">431*F112</f>
        <v>194768.9</v>
      </c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>
        <f t="shared" si="134"/>
        <v>22595</v>
      </c>
      <c r="V112" s="60"/>
      <c r="W112" s="62">
        <f t="shared" si="112"/>
        <v>217363.9</v>
      </c>
      <c r="X112" s="60" t="s">
        <v>17</v>
      </c>
      <c r="Y112" s="59">
        <v>0</v>
      </c>
      <c r="Z112" s="59">
        <v>0</v>
      </c>
      <c r="AA112" s="59">
        <v>0</v>
      </c>
      <c r="AB112" s="56">
        <f t="shared" si="29"/>
        <v>217363.9</v>
      </c>
    </row>
    <row r="113" spans="1:28" s="36" customFormat="1" ht="52.5" customHeight="1" x14ac:dyDescent="0.25">
      <c r="A113" s="36">
        <v>2018</v>
      </c>
      <c r="B113" s="53">
        <f>IF(OR(E113=0,E113=""),"",COUNTA($E$21:E113))</f>
        <v>77</v>
      </c>
      <c r="C113" s="53" t="s">
        <v>418</v>
      </c>
      <c r="D113" s="82" t="s">
        <v>655</v>
      </c>
      <c r="E113" s="58">
        <v>1961</v>
      </c>
      <c r="F113" s="60">
        <v>277.3</v>
      </c>
      <c r="G113" s="60">
        <v>202.5</v>
      </c>
      <c r="H113" s="60">
        <v>0</v>
      </c>
      <c r="I113" s="60" t="s">
        <v>35</v>
      </c>
      <c r="J113" s="60">
        <f t="shared" si="144"/>
        <v>119516.3</v>
      </c>
      <c r="K113" s="60"/>
      <c r="L113" s="60"/>
      <c r="M113" s="60"/>
      <c r="N113" s="60"/>
      <c r="O113" s="60"/>
      <c r="P113" s="60">
        <f t="shared" ref="P113" si="145">2013*F113</f>
        <v>558204.9</v>
      </c>
      <c r="Q113" s="60"/>
      <c r="R113" s="60">
        <f t="shared" ref="R113" si="146">1657*F113</f>
        <v>459486.1</v>
      </c>
      <c r="S113" s="60">
        <f t="shared" ref="S113" si="147">134*F113</f>
        <v>37158.199999999997</v>
      </c>
      <c r="T113" s="60"/>
      <c r="U113" s="60">
        <f t="shared" si="134"/>
        <v>13865</v>
      </c>
      <c r="V113" s="60">
        <f t="shared" si="118"/>
        <v>25131.42</v>
      </c>
      <c r="W113" s="62">
        <f t="shared" si="112"/>
        <v>1213361.92</v>
      </c>
      <c r="X113" s="60" t="s">
        <v>17</v>
      </c>
      <c r="Y113" s="59">
        <v>0</v>
      </c>
      <c r="Z113" s="59">
        <v>0</v>
      </c>
      <c r="AA113" s="59">
        <v>0</v>
      </c>
      <c r="AB113" s="56">
        <f t="shared" si="29"/>
        <v>1213361.92</v>
      </c>
    </row>
    <row r="114" spans="1:28" s="36" customFormat="1" ht="52.5" customHeight="1" x14ac:dyDescent="0.25">
      <c r="A114" s="36">
        <v>2018</v>
      </c>
      <c r="B114" s="53">
        <f>IF(OR(E114=0,E114=""),"",COUNTA($E$21:E114))</f>
        <v>78</v>
      </c>
      <c r="C114" s="53" t="s">
        <v>402</v>
      </c>
      <c r="D114" s="82" t="s">
        <v>656</v>
      </c>
      <c r="E114" s="58">
        <v>1961</v>
      </c>
      <c r="F114" s="60">
        <v>1729.1</v>
      </c>
      <c r="G114" s="60">
        <v>1290.2</v>
      </c>
      <c r="H114" s="60">
        <v>0</v>
      </c>
      <c r="I114" s="60" t="s">
        <v>36</v>
      </c>
      <c r="J114" s="60">
        <v>378134.03</v>
      </c>
      <c r="K114" s="60">
        <v>1184457.6399999999</v>
      </c>
      <c r="L114" s="60"/>
      <c r="M114" s="60">
        <f t="shared" ref="M114:M115" si="148">326*F114</f>
        <v>563686.6</v>
      </c>
      <c r="N114" s="60">
        <v>550910.02</v>
      </c>
      <c r="O114" s="60"/>
      <c r="P114" s="60">
        <v>2550503.5</v>
      </c>
      <c r="Q114" s="60">
        <v>29678.39</v>
      </c>
      <c r="R114" s="60">
        <v>2604840.09</v>
      </c>
      <c r="S114" s="60">
        <v>22969.57</v>
      </c>
      <c r="T114" s="60"/>
      <c r="U114" s="60">
        <f t="shared" si="134"/>
        <v>86455</v>
      </c>
      <c r="V114" s="61">
        <f t="shared" si="118"/>
        <v>168742.85</v>
      </c>
      <c r="W114" s="62">
        <f t="shared" si="112"/>
        <v>8140377.6900000004</v>
      </c>
      <c r="X114" s="60" t="s">
        <v>17</v>
      </c>
      <c r="Y114" s="59">
        <v>0</v>
      </c>
      <c r="Z114" s="59">
        <v>0</v>
      </c>
      <c r="AA114" s="59">
        <v>0</v>
      </c>
      <c r="AB114" s="56">
        <f t="shared" si="29"/>
        <v>8140377.6900000004</v>
      </c>
    </row>
    <row r="115" spans="1:28" s="36" customFormat="1" ht="52.5" customHeight="1" x14ac:dyDescent="0.25">
      <c r="A115" s="36">
        <v>2018</v>
      </c>
      <c r="B115" s="53">
        <f>IF(OR(E115=0,E115=""),"",COUNTA($E$21:E115))</f>
        <v>79</v>
      </c>
      <c r="C115" s="53" t="s">
        <v>404</v>
      </c>
      <c r="D115" s="82" t="s">
        <v>657</v>
      </c>
      <c r="E115" s="58">
        <v>1961</v>
      </c>
      <c r="F115" s="60">
        <v>1717.2</v>
      </c>
      <c r="G115" s="60">
        <v>1279.6600000000001</v>
      </c>
      <c r="H115" s="60">
        <v>0</v>
      </c>
      <c r="I115" s="60" t="s">
        <v>33</v>
      </c>
      <c r="J115" s="60">
        <v>310756.05</v>
      </c>
      <c r="K115" s="60">
        <v>1360771.08</v>
      </c>
      <c r="L115" s="60"/>
      <c r="M115" s="60">
        <f t="shared" si="148"/>
        <v>559807.19999999995</v>
      </c>
      <c r="N115" s="60">
        <v>208199.92</v>
      </c>
      <c r="O115" s="60"/>
      <c r="P115" s="60">
        <v>2169269.73</v>
      </c>
      <c r="Q115" s="60">
        <v>304222.17</v>
      </c>
      <c r="R115" s="60">
        <v>3087127.31</v>
      </c>
      <c r="S115" s="60">
        <v>229639.73</v>
      </c>
      <c r="T115" s="60"/>
      <c r="U115" s="60">
        <f t="shared" si="134"/>
        <v>85860</v>
      </c>
      <c r="V115" s="61">
        <f t="shared" si="118"/>
        <v>176117.57</v>
      </c>
      <c r="W115" s="62">
        <f t="shared" si="112"/>
        <v>8491770.7599999998</v>
      </c>
      <c r="X115" s="60" t="s">
        <v>17</v>
      </c>
      <c r="Y115" s="59">
        <v>0</v>
      </c>
      <c r="Z115" s="59">
        <v>0</v>
      </c>
      <c r="AA115" s="59">
        <v>0</v>
      </c>
      <c r="AB115" s="56">
        <f t="shared" si="29"/>
        <v>8491770.7599999998</v>
      </c>
    </row>
    <row r="116" spans="1:28" s="36" customFormat="1" ht="52.5" customHeight="1" x14ac:dyDescent="0.25">
      <c r="A116" s="36">
        <v>2018</v>
      </c>
      <c r="B116" s="53">
        <f>IF(OR(E116=0,E116=""),"",COUNTA($E$21:E116))</f>
        <v>80</v>
      </c>
      <c r="C116" s="53" t="s">
        <v>1069</v>
      </c>
      <c r="D116" s="82" t="s">
        <v>658</v>
      </c>
      <c r="E116" s="58">
        <v>1961</v>
      </c>
      <c r="F116" s="60">
        <v>326.89999999999998</v>
      </c>
      <c r="G116" s="60">
        <v>159.6</v>
      </c>
      <c r="H116" s="60">
        <v>51.6</v>
      </c>
      <c r="I116" s="60" t="s">
        <v>29</v>
      </c>
      <c r="J116" s="60">
        <f>405*F116</f>
        <v>132394.5</v>
      </c>
      <c r="K116" s="60"/>
      <c r="L116" s="60"/>
      <c r="M116" s="60">
        <f>320*F116</f>
        <v>104608</v>
      </c>
      <c r="N116" s="60">
        <f>190*F116</f>
        <v>62111</v>
      </c>
      <c r="O116" s="60"/>
      <c r="P116" s="60">
        <f>3100*F116</f>
        <v>1013390</v>
      </c>
      <c r="Q116" s="60">
        <f t="shared" ref="Q116" si="149">190*F116</f>
        <v>62111</v>
      </c>
      <c r="R116" s="60">
        <f>2450*F116</f>
        <v>800905</v>
      </c>
      <c r="S116" s="60">
        <f>195*F116</f>
        <v>63745.5</v>
      </c>
      <c r="T116" s="60"/>
      <c r="U116" s="60">
        <f>787*F116</f>
        <v>257270.3</v>
      </c>
      <c r="V116" s="60">
        <f t="shared" si="118"/>
        <v>47920.27</v>
      </c>
      <c r="W116" s="62">
        <f t="shared" si="112"/>
        <v>2544455.5699999998</v>
      </c>
      <c r="X116" s="60" t="s">
        <v>17</v>
      </c>
      <c r="Y116" s="59">
        <v>0</v>
      </c>
      <c r="Z116" s="59">
        <v>0</v>
      </c>
      <c r="AA116" s="59">
        <v>0</v>
      </c>
      <c r="AB116" s="56">
        <f t="shared" si="29"/>
        <v>2544455.5699999998</v>
      </c>
    </row>
    <row r="117" spans="1:28" s="36" customFormat="1" ht="52.5" customHeight="1" x14ac:dyDescent="0.25">
      <c r="A117" s="36">
        <v>2018</v>
      </c>
      <c r="B117" s="53">
        <f>IF(OR(E117=0,E117=""),"",COUNTA($E$21:E117))</f>
        <v>81</v>
      </c>
      <c r="C117" s="53" t="s">
        <v>260</v>
      </c>
      <c r="D117" s="82" t="s">
        <v>659</v>
      </c>
      <c r="E117" s="58">
        <v>1953</v>
      </c>
      <c r="F117" s="60">
        <v>624.79999999999995</v>
      </c>
      <c r="G117" s="60">
        <v>395.92</v>
      </c>
      <c r="H117" s="60">
        <v>0</v>
      </c>
      <c r="I117" s="60" t="s">
        <v>35</v>
      </c>
      <c r="J117" s="60">
        <f t="shared" ref="J117" si="150">431*F117</f>
        <v>269288.8</v>
      </c>
      <c r="K117" s="60">
        <f>500*F117</f>
        <v>312400</v>
      </c>
      <c r="L117" s="60"/>
      <c r="M117" s="60">
        <f t="shared" ref="M117" si="151">223*F117</f>
        <v>139330.4</v>
      </c>
      <c r="N117" s="60">
        <f t="shared" ref="N117" si="152">134*F117</f>
        <v>83723.199999999997</v>
      </c>
      <c r="O117" s="60"/>
      <c r="P117" s="60">
        <f t="shared" ref="P117" si="153">2013*F117</f>
        <v>1257722.3999999999</v>
      </c>
      <c r="Q117" s="60"/>
      <c r="R117" s="60">
        <f t="shared" ref="R117" si="154">1657*F117</f>
        <v>1035293.6</v>
      </c>
      <c r="S117" s="60">
        <f t="shared" ref="S117" si="155">134*F117</f>
        <v>83723.199999999997</v>
      </c>
      <c r="T117" s="60"/>
      <c r="U117" s="60">
        <f t="shared" si="134"/>
        <v>31240</v>
      </c>
      <c r="V117" s="60">
        <f t="shared" si="118"/>
        <v>68083.710000000006</v>
      </c>
      <c r="W117" s="62">
        <f t="shared" si="112"/>
        <v>3280805.31</v>
      </c>
      <c r="X117" s="60" t="s">
        <v>17</v>
      </c>
      <c r="Y117" s="59">
        <v>0</v>
      </c>
      <c r="Z117" s="59">
        <v>0</v>
      </c>
      <c r="AA117" s="59">
        <v>0</v>
      </c>
      <c r="AB117" s="56">
        <f t="shared" si="29"/>
        <v>3280805.31</v>
      </c>
    </row>
    <row r="118" spans="1:28" s="36" customFormat="1" ht="52.5" customHeight="1" x14ac:dyDescent="0.25">
      <c r="A118" s="36">
        <v>2018</v>
      </c>
      <c r="B118" s="53">
        <f>IF(OR(E118=0,E118=""),"",COUNTA($E$21:E118))</f>
        <v>82</v>
      </c>
      <c r="C118" s="53" t="s">
        <v>309</v>
      </c>
      <c r="D118" s="82" t="s">
        <v>660</v>
      </c>
      <c r="E118" s="58">
        <v>1960</v>
      </c>
      <c r="F118" s="60">
        <v>2764.6</v>
      </c>
      <c r="G118" s="60">
        <v>2523.3000000000002</v>
      </c>
      <c r="H118" s="60">
        <v>0</v>
      </c>
      <c r="I118" s="60" t="s">
        <v>36</v>
      </c>
      <c r="J118" s="60"/>
      <c r="K118" s="60"/>
      <c r="L118" s="60"/>
      <c r="M118" s="60"/>
      <c r="N118" s="60"/>
      <c r="O118" s="60"/>
      <c r="P118" s="60">
        <f>1679*F118</f>
        <v>4641763.4000000004</v>
      </c>
      <c r="Q118" s="60"/>
      <c r="R118" s="60">
        <f>1525*F118</f>
        <v>4216015</v>
      </c>
      <c r="S118" s="60"/>
      <c r="T118" s="60"/>
      <c r="U118" s="60"/>
      <c r="V118" s="60"/>
      <c r="W118" s="62">
        <f t="shared" si="112"/>
        <v>8857778.4000000004</v>
      </c>
      <c r="X118" s="60" t="s">
        <v>17</v>
      </c>
      <c r="Y118" s="59">
        <v>0</v>
      </c>
      <c r="Z118" s="59">
        <v>0</v>
      </c>
      <c r="AA118" s="59">
        <v>0</v>
      </c>
      <c r="AB118" s="56">
        <f t="shared" si="29"/>
        <v>8857778.4000000004</v>
      </c>
    </row>
    <row r="119" spans="1:28" s="36" customFormat="1" ht="52.5" customHeight="1" x14ac:dyDescent="0.25">
      <c r="A119" s="36">
        <v>2018</v>
      </c>
      <c r="B119" s="53">
        <f>IF(OR(E119=0,E119=""),"",COUNTA($E$21:E119))</f>
        <v>83</v>
      </c>
      <c r="C119" s="53" t="s">
        <v>323</v>
      </c>
      <c r="D119" s="82" t="s">
        <v>661</v>
      </c>
      <c r="E119" s="58">
        <v>1958</v>
      </c>
      <c r="F119" s="60">
        <v>1025.5999999999999</v>
      </c>
      <c r="G119" s="60">
        <v>495.23</v>
      </c>
      <c r="H119" s="60">
        <v>0</v>
      </c>
      <c r="I119" s="60" t="s">
        <v>35</v>
      </c>
      <c r="J119" s="60"/>
      <c r="K119" s="60"/>
      <c r="L119" s="60"/>
      <c r="M119" s="60"/>
      <c r="N119" s="60"/>
      <c r="O119" s="60"/>
      <c r="P119" s="60">
        <f t="shared" ref="P119:P123" si="156">2013*F119</f>
        <v>2064532.8</v>
      </c>
      <c r="Q119" s="60"/>
      <c r="R119" s="60">
        <f t="shared" ref="R119:R123" si="157">1657*F119</f>
        <v>1699419.2</v>
      </c>
      <c r="S119" s="60"/>
      <c r="T119" s="60"/>
      <c r="U119" s="60"/>
      <c r="V119" s="60"/>
      <c r="W119" s="62">
        <f t="shared" si="112"/>
        <v>3763952</v>
      </c>
      <c r="X119" s="60" t="s">
        <v>17</v>
      </c>
      <c r="Y119" s="59">
        <v>0</v>
      </c>
      <c r="Z119" s="59">
        <v>0</v>
      </c>
      <c r="AA119" s="59">
        <v>0</v>
      </c>
      <c r="AB119" s="56">
        <f t="shared" ref="AB119:AB180" si="158">W119-(Y119+Z119+AA119)</f>
        <v>3763952</v>
      </c>
    </row>
    <row r="120" spans="1:28" s="36" customFormat="1" ht="52.5" customHeight="1" x14ac:dyDescent="0.25">
      <c r="A120" s="36">
        <v>2018</v>
      </c>
      <c r="B120" s="53">
        <f>IF(OR(E120=0,E120=""),"",COUNTA($E$21:E120))</f>
        <v>84</v>
      </c>
      <c r="C120" s="53" t="s">
        <v>327</v>
      </c>
      <c r="D120" s="82" t="s">
        <v>662</v>
      </c>
      <c r="E120" s="58">
        <v>1960</v>
      </c>
      <c r="F120" s="60">
        <v>989.5</v>
      </c>
      <c r="G120" s="60">
        <v>515.29999999999995</v>
      </c>
      <c r="H120" s="60">
        <v>0</v>
      </c>
      <c r="I120" s="60" t="s">
        <v>35</v>
      </c>
      <c r="J120" s="60"/>
      <c r="K120" s="60"/>
      <c r="L120" s="60"/>
      <c r="M120" s="60"/>
      <c r="N120" s="60"/>
      <c r="O120" s="60"/>
      <c r="P120" s="60">
        <f t="shared" si="156"/>
        <v>1991863.5</v>
      </c>
      <c r="Q120" s="60"/>
      <c r="R120" s="60">
        <f t="shared" si="157"/>
        <v>1639601.5</v>
      </c>
      <c r="S120" s="60"/>
      <c r="T120" s="60"/>
      <c r="U120" s="60"/>
      <c r="V120" s="60"/>
      <c r="W120" s="62">
        <f t="shared" si="112"/>
        <v>3631465</v>
      </c>
      <c r="X120" s="60" t="s">
        <v>17</v>
      </c>
      <c r="Y120" s="59">
        <v>0</v>
      </c>
      <c r="Z120" s="59">
        <v>0</v>
      </c>
      <c r="AA120" s="59">
        <v>0</v>
      </c>
      <c r="AB120" s="56">
        <f t="shared" si="158"/>
        <v>3631465</v>
      </c>
    </row>
    <row r="121" spans="1:28" s="36" customFormat="1" ht="52.5" customHeight="1" x14ac:dyDescent="0.25">
      <c r="A121" s="36">
        <v>2018</v>
      </c>
      <c r="B121" s="53">
        <f>IF(OR(E121=0,E121=""),"",COUNTA($E$21:E121))</f>
        <v>85</v>
      </c>
      <c r="C121" s="53" t="s">
        <v>329</v>
      </c>
      <c r="D121" s="82" t="s">
        <v>663</v>
      </c>
      <c r="E121" s="58">
        <v>1960</v>
      </c>
      <c r="F121" s="60">
        <v>489.5</v>
      </c>
      <c r="G121" s="60">
        <v>274.45999999999998</v>
      </c>
      <c r="H121" s="60">
        <v>0</v>
      </c>
      <c r="I121" s="60" t="s">
        <v>35</v>
      </c>
      <c r="J121" s="60"/>
      <c r="K121" s="60"/>
      <c r="L121" s="60"/>
      <c r="M121" s="60"/>
      <c r="N121" s="60"/>
      <c r="O121" s="60"/>
      <c r="P121" s="60">
        <f t="shared" si="156"/>
        <v>985363.5</v>
      </c>
      <c r="Q121" s="60"/>
      <c r="R121" s="60">
        <f t="shared" si="157"/>
        <v>811101.5</v>
      </c>
      <c r="S121" s="60"/>
      <c r="T121" s="60"/>
      <c r="U121" s="60"/>
      <c r="V121" s="60"/>
      <c r="W121" s="62">
        <f t="shared" si="112"/>
        <v>1796465</v>
      </c>
      <c r="X121" s="60" t="s">
        <v>17</v>
      </c>
      <c r="Y121" s="59">
        <v>0</v>
      </c>
      <c r="Z121" s="59">
        <v>0</v>
      </c>
      <c r="AA121" s="59">
        <v>0</v>
      </c>
      <c r="AB121" s="56">
        <f t="shared" si="158"/>
        <v>1796465</v>
      </c>
    </row>
    <row r="122" spans="1:28" s="36" customFormat="1" ht="52.5" customHeight="1" x14ac:dyDescent="0.25">
      <c r="A122" s="36">
        <v>2018</v>
      </c>
      <c r="B122" s="53">
        <f>IF(OR(E122=0,E122=""),"",COUNTA($E$21:E122))</f>
        <v>86</v>
      </c>
      <c r="C122" s="53" t="s">
        <v>1070</v>
      </c>
      <c r="D122" s="82" t="s">
        <v>664</v>
      </c>
      <c r="E122" s="58">
        <v>1959</v>
      </c>
      <c r="F122" s="60">
        <v>2863</v>
      </c>
      <c r="G122" s="60">
        <v>1848.9</v>
      </c>
      <c r="H122" s="60">
        <v>285.89999999999998</v>
      </c>
      <c r="I122" s="60" t="s">
        <v>34</v>
      </c>
      <c r="J122" s="60"/>
      <c r="K122" s="60"/>
      <c r="L122" s="60"/>
      <c r="M122" s="60"/>
      <c r="N122" s="60"/>
      <c r="O122" s="60"/>
      <c r="P122" s="60">
        <f t="shared" si="156"/>
        <v>5763219</v>
      </c>
      <c r="Q122" s="60"/>
      <c r="R122" s="60">
        <f t="shared" si="157"/>
        <v>4743991</v>
      </c>
      <c r="S122" s="60"/>
      <c r="T122" s="60"/>
      <c r="U122" s="60"/>
      <c r="V122" s="60"/>
      <c r="W122" s="62">
        <f t="shared" si="112"/>
        <v>10507210</v>
      </c>
      <c r="X122" s="60" t="s">
        <v>17</v>
      </c>
      <c r="Y122" s="59">
        <v>0</v>
      </c>
      <c r="Z122" s="59">
        <v>0</v>
      </c>
      <c r="AA122" s="59">
        <v>0</v>
      </c>
      <c r="AB122" s="56">
        <f t="shared" si="158"/>
        <v>10507210</v>
      </c>
    </row>
    <row r="123" spans="1:28" s="36" customFormat="1" ht="52.5" customHeight="1" x14ac:dyDescent="0.25">
      <c r="A123" s="36">
        <v>2018</v>
      </c>
      <c r="B123" s="53">
        <f>IF(OR(E123=0,E123=""),"",COUNTA($E$21:E123))</f>
        <v>87</v>
      </c>
      <c r="C123" s="53" t="s">
        <v>337</v>
      </c>
      <c r="D123" s="82" t="s">
        <v>665</v>
      </c>
      <c r="E123" s="58">
        <v>1960</v>
      </c>
      <c r="F123" s="60">
        <v>1536.5</v>
      </c>
      <c r="G123" s="60">
        <v>616.9</v>
      </c>
      <c r="H123" s="60">
        <v>0</v>
      </c>
      <c r="I123" s="60" t="s">
        <v>35</v>
      </c>
      <c r="J123" s="60"/>
      <c r="K123" s="60"/>
      <c r="L123" s="60"/>
      <c r="M123" s="60"/>
      <c r="N123" s="60"/>
      <c r="O123" s="60"/>
      <c r="P123" s="60">
        <f t="shared" si="156"/>
        <v>3092974.5</v>
      </c>
      <c r="Q123" s="60"/>
      <c r="R123" s="60">
        <f t="shared" si="157"/>
        <v>2545980.5</v>
      </c>
      <c r="S123" s="60"/>
      <c r="T123" s="60"/>
      <c r="U123" s="60"/>
      <c r="V123" s="60"/>
      <c r="W123" s="62">
        <f t="shared" si="112"/>
        <v>5638955</v>
      </c>
      <c r="X123" s="60" t="s">
        <v>17</v>
      </c>
      <c r="Y123" s="59">
        <v>0</v>
      </c>
      <c r="Z123" s="59">
        <v>0</v>
      </c>
      <c r="AA123" s="59">
        <v>0</v>
      </c>
      <c r="AB123" s="56">
        <f t="shared" si="158"/>
        <v>5638955</v>
      </c>
    </row>
    <row r="124" spans="1:28" s="36" customFormat="1" ht="52.5" customHeight="1" x14ac:dyDescent="0.25">
      <c r="A124" s="36">
        <v>2018</v>
      </c>
      <c r="B124" s="53">
        <f>IF(OR(E124=0,E124=""),"",COUNTA($E$21:E124))</f>
        <v>88</v>
      </c>
      <c r="C124" s="53" t="s">
        <v>356</v>
      </c>
      <c r="D124" s="82" t="s">
        <v>666</v>
      </c>
      <c r="E124" s="58">
        <v>1960</v>
      </c>
      <c r="F124" s="60">
        <v>1678.3</v>
      </c>
      <c r="G124" s="60">
        <v>1238.4000000000001</v>
      </c>
      <c r="H124" s="60">
        <v>0</v>
      </c>
      <c r="I124" s="60" t="s">
        <v>36</v>
      </c>
      <c r="J124" s="60"/>
      <c r="K124" s="60"/>
      <c r="L124" s="60"/>
      <c r="M124" s="60"/>
      <c r="N124" s="60"/>
      <c r="O124" s="60"/>
      <c r="P124" s="60">
        <f>1679*F124</f>
        <v>2817865.7</v>
      </c>
      <c r="Q124" s="60"/>
      <c r="R124" s="60">
        <f>1525*F124</f>
        <v>2559407.5</v>
      </c>
      <c r="S124" s="60"/>
      <c r="T124" s="60"/>
      <c r="U124" s="60"/>
      <c r="V124" s="60"/>
      <c r="W124" s="62">
        <f t="shared" ref="W124:W153" si="159">V124+U124+T124+S124+R124+Q124+P124+O124+N124+M124+L124+K124+J124</f>
        <v>5377273.2000000002</v>
      </c>
      <c r="X124" s="60" t="s">
        <v>17</v>
      </c>
      <c r="Y124" s="59">
        <v>0</v>
      </c>
      <c r="Z124" s="59">
        <v>0</v>
      </c>
      <c r="AA124" s="59">
        <v>0</v>
      </c>
      <c r="AB124" s="56">
        <f t="shared" si="158"/>
        <v>5377273.2000000002</v>
      </c>
    </row>
    <row r="125" spans="1:28" s="36" customFormat="1" ht="52.5" customHeight="1" x14ac:dyDescent="0.25">
      <c r="A125" s="36">
        <v>2018</v>
      </c>
      <c r="B125" s="53">
        <f>IF(OR(E125=0,E125=""),"",COUNTA($E$21:E125))</f>
        <v>89</v>
      </c>
      <c r="C125" s="53" t="s">
        <v>426</v>
      </c>
      <c r="D125" s="82" t="s">
        <v>667</v>
      </c>
      <c r="E125" s="58">
        <v>1958</v>
      </c>
      <c r="F125" s="60">
        <v>1601.4</v>
      </c>
      <c r="G125" s="60">
        <v>910.6</v>
      </c>
      <c r="H125" s="60">
        <v>320.8</v>
      </c>
      <c r="I125" s="60" t="s">
        <v>34</v>
      </c>
      <c r="J125" s="60"/>
      <c r="K125" s="60"/>
      <c r="L125" s="60"/>
      <c r="M125" s="60"/>
      <c r="N125" s="60"/>
      <c r="O125" s="60"/>
      <c r="P125" s="60">
        <f>2013*F125</f>
        <v>3223618.2</v>
      </c>
      <c r="Q125" s="60"/>
      <c r="R125" s="60">
        <f>1657*F125</f>
        <v>2653519.7999999998</v>
      </c>
      <c r="S125" s="60"/>
      <c r="T125" s="60"/>
      <c r="U125" s="60"/>
      <c r="V125" s="60"/>
      <c r="W125" s="62">
        <f t="shared" si="159"/>
        <v>5877138</v>
      </c>
      <c r="X125" s="60" t="s">
        <v>17</v>
      </c>
      <c r="Y125" s="59">
        <v>0</v>
      </c>
      <c r="Z125" s="59">
        <v>0</v>
      </c>
      <c r="AA125" s="59">
        <v>0</v>
      </c>
      <c r="AB125" s="56">
        <f t="shared" si="158"/>
        <v>5877138</v>
      </c>
    </row>
    <row r="126" spans="1:28" s="36" customFormat="1" ht="52.5" customHeight="1" x14ac:dyDescent="0.25">
      <c r="A126" s="36">
        <v>2018</v>
      </c>
      <c r="B126" s="53">
        <f>IF(OR(E126=0,E126=""),"",COUNTA($E$21:E126))</f>
        <v>90</v>
      </c>
      <c r="C126" s="53" t="s">
        <v>366</v>
      </c>
      <c r="D126" s="82" t="s">
        <v>668</v>
      </c>
      <c r="E126" s="58">
        <v>1960</v>
      </c>
      <c r="F126" s="60">
        <v>1798.39</v>
      </c>
      <c r="G126" s="60">
        <v>1239.69</v>
      </c>
      <c r="H126" s="60">
        <v>0</v>
      </c>
      <c r="I126" s="60" t="s">
        <v>36</v>
      </c>
      <c r="J126" s="60"/>
      <c r="K126" s="60"/>
      <c r="L126" s="60"/>
      <c r="M126" s="60"/>
      <c r="N126" s="60"/>
      <c r="O126" s="60"/>
      <c r="P126" s="60">
        <f t="shared" ref="P126:P127" si="160">1679*F126</f>
        <v>3019496.81</v>
      </c>
      <c r="Q126" s="60"/>
      <c r="R126" s="60">
        <f t="shared" ref="R126:R127" si="161">1525*F126</f>
        <v>2742544.75</v>
      </c>
      <c r="S126" s="60"/>
      <c r="T126" s="60"/>
      <c r="U126" s="60"/>
      <c r="V126" s="60"/>
      <c r="W126" s="62">
        <f t="shared" si="159"/>
        <v>5762041.5599999996</v>
      </c>
      <c r="X126" s="60" t="s">
        <v>17</v>
      </c>
      <c r="Y126" s="59">
        <v>0</v>
      </c>
      <c r="Z126" s="59">
        <v>0</v>
      </c>
      <c r="AA126" s="59">
        <v>0</v>
      </c>
      <c r="AB126" s="56">
        <f t="shared" si="158"/>
        <v>5762041.5599999996</v>
      </c>
    </row>
    <row r="127" spans="1:28" s="36" customFormat="1" ht="52.5" customHeight="1" x14ac:dyDescent="0.25">
      <c r="A127" s="36">
        <v>2018</v>
      </c>
      <c r="B127" s="53">
        <f>IF(OR(E127=0,E127=""),"",COUNTA($E$21:E127))</f>
        <v>91</v>
      </c>
      <c r="C127" s="53" t="s">
        <v>406</v>
      </c>
      <c r="D127" s="82" t="s">
        <v>669</v>
      </c>
      <c r="E127" s="58">
        <v>1959</v>
      </c>
      <c r="F127" s="60">
        <v>5073.46</v>
      </c>
      <c r="G127" s="60">
        <v>2670.26</v>
      </c>
      <c r="H127" s="60">
        <v>314.89999999999998</v>
      </c>
      <c r="I127" s="60" t="s">
        <v>36</v>
      </c>
      <c r="J127" s="60"/>
      <c r="K127" s="60"/>
      <c r="L127" s="60"/>
      <c r="M127" s="60"/>
      <c r="N127" s="60"/>
      <c r="O127" s="60"/>
      <c r="P127" s="60">
        <f t="shared" si="160"/>
        <v>8518339.3399999999</v>
      </c>
      <c r="Q127" s="60"/>
      <c r="R127" s="60">
        <f t="shared" si="161"/>
        <v>7737026.5</v>
      </c>
      <c r="S127" s="60"/>
      <c r="T127" s="60"/>
      <c r="U127" s="60"/>
      <c r="V127" s="60"/>
      <c r="W127" s="62">
        <f t="shared" si="159"/>
        <v>16255365.84</v>
      </c>
      <c r="X127" s="60" t="s">
        <v>17</v>
      </c>
      <c r="Y127" s="59">
        <v>0</v>
      </c>
      <c r="Z127" s="59">
        <v>0</v>
      </c>
      <c r="AA127" s="59">
        <v>0</v>
      </c>
      <c r="AB127" s="56">
        <f t="shared" si="158"/>
        <v>16255365.84</v>
      </c>
    </row>
    <row r="128" spans="1:28" s="36" customFormat="1" ht="52.5" customHeight="1" x14ac:dyDescent="0.25">
      <c r="A128" s="36">
        <v>2018</v>
      </c>
      <c r="B128" s="53">
        <f>IF(OR(E128=0,E128=""),"",COUNTA($E$21:E128))</f>
        <v>92</v>
      </c>
      <c r="C128" s="53" t="s">
        <v>212</v>
      </c>
      <c r="D128" s="82" t="s">
        <v>670</v>
      </c>
      <c r="E128" s="58">
        <v>1962</v>
      </c>
      <c r="F128" s="60">
        <v>314.5</v>
      </c>
      <c r="G128" s="60">
        <v>210.9</v>
      </c>
      <c r="H128" s="60">
        <v>0</v>
      </c>
      <c r="I128" s="60" t="s">
        <v>35</v>
      </c>
      <c r="J128" s="60"/>
      <c r="K128" s="60"/>
      <c r="L128" s="60"/>
      <c r="M128" s="60"/>
      <c r="N128" s="60"/>
      <c r="O128" s="60"/>
      <c r="P128" s="60">
        <f t="shared" ref="P128:P132" si="162">2013*F128</f>
        <v>633088.5</v>
      </c>
      <c r="Q128" s="60"/>
      <c r="R128" s="60">
        <f t="shared" ref="R128:R132" si="163">1657*F128</f>
        <v>521126.5</v>
      </c>
      <c r="S128" s="60"/>
      <c r="T128" s="60"/>
      <c r="U128" s="60"/>
      <c r="V128" s="60"/>
      <c r="W128" s="62">
        <f t="shared" si="159"/>
        <v>1154215</v>
      </c>
      <c r="X128" s="60" t="s">
        <v>17</v>
      </c>
      <c r="Y128" s="59">
        <v>0</v>
      </c>
      <c r="Z128" s="59">
        <v>0</v>
      </c>
      <c r="AA128" s="59">
        <v>0</v>
      </c>
      <c r="AB128" s="56">
        <f t="shared" si="158"/>
        <v>1154215</v>
      </c>
    </row>
    <row r="129" spans="1:28" s="36" customFormat="1" ht="52.5" customHeight="1" x14ac:dyDescent="0.25">
      <c r="A129" s="36">
        <v>2018</v>
      </c>
      <c r="B129" s="53">
        <f>IF(OR(E129=0,E129=""),"",COUNTA($E$21:E129))</f>
        <v>93</v>
      </c>
      <c r="C129" s="53" t="s">
        <v>213</v>
      </c>
      <c r="D129" s="82" t="s">
        <v>671</v>
      </c>
      <c r="E129" s="58">
        <v>1962</v>
      </c>
      <c r="F129" s="60">
        <v>315</v>
      </c>
      <c r="G129" s="60">
        <v>210.6</v>
      </c>
      <c r="H129" s="60">
        <v>0</v>
      </c>
      <c r="I129" s="60" t="s">
        <v>35</v>
      </c>
      <c r="J129" s="60"/>
      <c r="K129" s="60"/>
      <c r="L129" s="60"/>
      <c r="M129" s="60"/>
      <c r="N129" s="60"/>
      <c r="O129" s="60"/>
      <c r="P129" s="60">
        <f t="shared" si="162"/>
        <v>634095</v>
      </c>
      <c r="Q129" s="60"/>
      <c r="R129" s="60">
        <f t="shared" si="163"/>
        <v>521955</v>
      </c>
      <c r="S129" s="60"/>
      <c r="T129" s="60"/>
      <c r="U129" s="60"/>
      <c r="V129" s="60"/>
      <c r="W129" s="62">
        <f t="shared" si="159"/>
        <v>1156050</v>
      </c>
      <c r="X129" s="60" t="s">
        <v>17</v>
      </c>
      <c r="Y129" s="59">
        <v>0</v>
      </c>
      <c r="Z129" s="59">
        <v>0</v>
      </c>
      <c r="AA129" s="59">
        <v>0</v>
      </c>
      <c r="AB129" s="56">
        <f t="shared" si="158"/>
        <v>1156050</v>
      </c>
    </row>
    <row r="130" spans="1:28" s="36" customFormat="1" ht="52.5" customHeight="1" x14ac:dyDescent="0.25">
      <c r="A130" s="36">
        <v>2018</v>
      </c>
      <c r="B130" s="53">
        <f>IF(OR(E130=0,E130=""),"",COUNTA($E$21:E130))</f>
        <v>94</v>
      </c>
      <c r="C130" s="53" t="s">
        <v>232</v>
      </c>
      <c r="D130" s="82" t="s">
        <v>672</v>
      </c>
      <c r="E130" s="58">
        <v>1963</v>
      </c>
      <c r="F130" s="60">
        <v>690.4</v>
      </c>
      <c r="G130" s="60">
        <v>641.79999999999995</v>
      </c>
      <c r="H130" s="60">
        <v>0</v>
      </c>
      <c r="I130" s="60" t="s">
        <v>35</v>
      </c>
      <c r="J130" s="60"/>
      <c r="K130" s="60"/>
      <c r="L130" s="60"/>
      <c r="M130" s="60"/>
      <c r="N130" s="60"/>
      <c r="O130" s="60"/>
      <c r="P130" s="60">
        <f t="shared" si="162"/>
        <v>1389775.2</v>
      </c>
      <c r="Q130" s="60"/>
      <c r="R130" s="60">
        <f t="shared" si="163"/>
        <v>1143992.8</v>
      </c>
      <c r="S130" s="60"/>
      <c r="T130" s="60"/>
      <c r="U130" s="60"/>
      <c r="V130" s="60"/>
      <c r="W130" s="62">
        <f t="shared" si="159"/>
        <v>2533768</v>
      </c>
      <c r="X130" s="60" t="s">
        <v>17</v>
      </c>
      <c r="Y130" s="59">
        <v>0</v>
      </c>
      <c r="Z130" s="59">
        <v>0</v>
      </c>
      <c r="AA130" s="59">
        <v>0</v>
      </c>
      <c r="AB130" s="56">
        <f t="shared" si="158"/>
        <v>2533768</v>
      </c>
    </row>
    <row r="131" spans="1:28" s="36" customFormat="1" ht="52.5" customHeight="1" x14ac:dyDescent="0.25">
      <c r="A131" s="36">
        <v>2018</v>
      </c>
      <c r="B131" s="53">
        <f>IF(OR(E131=0,E131=""),"",COUNTA($E$21:E131))</f>
        <v>95</v>
      </c>
      <c r="C131" s="53" t="s">
        <v>235</v>
      </c>
      <c r="D131" s="82" t="s">
        <v>673</v>
      </c>
      <c r="E131" s="58">
        <v>1963</v>
      </c>
      <c r="F131" s="60">
        <v>856</v>
      </c>
      <c r="G131" s="60">
        <v>786</v>
      </c>
      <c r="H131" s="60">
        <v>0</v>
      </c>
      <c r="I131" s="60" t="s">
        <v>35</v>
      </c>
      <c r="J131" s="60"/>
      <c r="K131" s="60"/>
      <c r="L131" s="60"/>
      <c r="M131" s="60"/>
      <c r="N131" s="60"/>
      <c r="O131" s="60"/>
      <c r="P131" s="60">
        <f t="shared" si="162"/>
        <v>1723128</v>
      </c>
      <c r="Q131" s="60"/>
      <c r="R131" s="60">
        <f t="shared" si="163"/>
        <v>1418392</v>
      </c>
      <c r="S131" s="60"/>
      <c r="T131" s="60"/>
      <c r="U131" s="60"/>
      <c r="V131" s="60"/>
      <c r="W131" s="62">
        <f t="shared" si="159"/>
        <v>3141520</v>
      </c>
      <c r="X131" s="60" t="s">
        <v>17</v>
      </c>
      <c r="Y131" s="59">
        <v>0</v>
      </c>
      <c r="Z131" s="59">
        <v>0</v>
      </c>
      <c r="AA131" s="59">
        <v>0</v>
      </c>
      <c r="AB131" s="56">
        <f t="shared" si="158"/>
        <v>3141520</v>
      </c>
    </row>
    <row r="132" spans="1:28" s="36" customFormat="1" ht="52.5" customHeight="1" x14ac:dyDescent="0.25">
      <c r="A132" s="36">
        <v>2018</v>
      </c>
      <c r="B132" s="53">
        <f>IF(OR(E132=0,E132=""),"",COUNTA($E$21:E132))</f>
        <v>96</v>
      </c>
      <c r="C132" s="53" t="s">
        <v>236</v>
      </c>
      <c r="D132" s="82" t="s">
        <v>674</v>
      </c>
      <c r="E132" s="58">
        <v>1963</v>
      </c>
      <c r="F132" s="60">
        <v>756</v>
      </c>
      <c r="G132" s="60">
        <v>691.2</v>
      </c>
      <c r="H132" s="60">
        <v>0</v>
      </c>
      <c r="I132" s="60" t="s">
        <v>35</v>
      </c>
      <c r="J132" s="60"/>
      <c r="K132" s="60"/>
      <c r="L132" s="60"/>
      <c r="M132" s="60"/>
      <c r="N132" s="60"/>
      <c r="O132" s="60"/>
      <c r="P132" s="60">
        <f t="shared" si="162"/>
        <v>1521828</v>
      </c>
      <c r="Q132" s="60"/>
      <c r="R132" s="60">
        <f t="shared" si="163"/>
        <v>1252692</v>
      </c>
      <c r="S132" s="60"/>
      <c r="T132" s="60"/>
      <c r="U132" s="60"/>
      <c r="V132" s="60"/>
      <c r="W132" s="62">
        <f t="shared" si="159"/>
        <v>2774520</v>
      </c>
      <c r="X132" s="60" t="s">
        <v>17</v>
      </c>
      <c r="Y132" s="59">
        <v>0</v>
      </c>
      <c r="Z132" s="59">
        <v>0</v>
      </c>
      <c r="AA132" s="59">
        <v>0</v>
      </c>
      <c r="AB132" s="56">
        <f t="shared" si="158"/>
        <v>2774520</v>
      </c>
    </row>
    <row r="133" spans="1:28" s="36" customFormat="1" ht="52.5" customHeight="1" x14ac:dyDescent="0.25">
      <c r="A133" s="36">
        <v>2018</v>
      </c>
      <c r="B133" s="53">
        <f>IF(OR(E133=0,E133=""),"",COUNTA($E$21:E133))</f>
        <v>97</v>
      </c>
      <c r="C133" s="53" t="s">
        <v>245</v>
      </c>
      <c r="D133" s="82" t="s">
        <v>675</v>
      </c>
      <c r="E133" s="58">
        <v>1962</v>
      </c>
      <c r="F133" s="60">
        <v>1998.2</v>
      </c>
      <c r="G133" s="60">
        <v>1475.8</v>
      </c>
      <c r="H133" s="60">
        <v>126.4</v>
      </c>
      <c r="I133" s="60" t="s">
        <v>33</v>
      </c>
      <c r="J133" s="60"/>
      <c r="K133" s="60"/>
      <c r="L133" s="60"/>
      <c r="M133" s="60"/>
      <c r="N133" s="60"/>
      <c r="O133" s="60"/>
      <c r="P133" s="60">
        <f t="shared" ref="P133:P134" si="164">1679*F133</f>
        <v>3354977.8</v>
      </c>
      <c r="Q133" s="60"/>
      <c r="R133" s="60"/>
      <c r="S133" s="60"/>
      <c r="T133" s="60"/>
      <c r="U133" s="60"/>
      <c r="V133" s="60"/>
      <c r="W133" s="62">
        <f t="shared" si="159"/>
        <v>3354977.8</v>
      </c>
      <c r="X133" s="60" t="s">
        <v>17</v>
      </c>
      <c r="Y133" s="59">
        <v>0</v>
      </c>
      <c r="Z133" s="59">
        <v>0</v>
      </c>
      <c r="AA133" s="59">
        <v>0</v>
      </c>
      <c r="AB133" s="56">
        <f t="shared" si="158"/>
        <v>3354977.8</v>
      </c>
    </row>
    <row r="134" spans="1:28" s="36" customFormat="1" ht="52.5" customHeight="1" x14ac:dyDescent="0.25">
      <c r="A134" s="36">
        <v>2018</v>
      </c>
      <c r="B134" s="53">
        <f>IF(OR(E134=0,E134=""),"",COUNTA($E$21:E134))</f>
        <v>98</v>
      </c>
      <c r="C134" s="53" t="s">
        <v>246</v>
      </c>
      <c r="D134" s="82" t="s">
        <v>676</v>
      </c>
      <c r="E134" s="58">
        <v>1962</v>
      </c>
      <c r="F134" s="60">
        <v>2768.6</v>
      </c>
      <c r="G134" s="60">
        <v>1931.7</v>
      </c>
      <c r="H134" s="60">
        <v>0</v>
      </c>
      <c r="I134" s="60" t="s">
        <v>36</v>
      </c>
      <c r="J134" s="60"/>
      <c r="K134" s="60"/>
      <c r="L134" s="60"/>
      <c r="M134" s="60"/>
      <c r="N134" s="60"/>
      <c r="O134" s="60"/>
      <c r="P134" s="60">
        <f t="shared" si="164"/>
        <v>4648479.4000000004</v>
      </c>
      <c r="Q134" s="60"/>
      <c r="R134" s="60">
        <f t="shared" ref="R134" si="165">1525*F134</f>
        <v>4222115</v>
      </c>
      <c r="S134" s="60"/>
      <c r="T134" s="60"/>
      <c r="U134" s="60"/>
      <c r="V134" s="60"/>
      <c r="W134" s="62">
        <f t="shared" si="159"/>
        <v>8870594.4000000004</v>
      </c>
      <c r="X134" s="60" t="s">
        <v>17</v>
      </c>
      <c r="Y134" s="59">
        <v>0</v>
      </c>
      <c r="Z134" s="59">
        <v>0</v>
      </c>
      <c r="AA134" s="59">
        <v>0</v>
      </c>
      <c r="AB134" s="56">
        <f t="shared" si="158"/>
        <v>8870594.4000000004</v>
      </c>
    </row>
    <row r="135" spans="1:28" s="36" customFormat="1" ht="52.5" customHeight="1" x14ac:dyDescent="0.25">
      <c r="A135" s="36">
        <v>2018</v>
      </c>
      <c r="B135" s="53">
        <f>IF(OR(E135=0,E135=""),"",COUNTA($E$21:E135))</f>
        <v>99</v>
      </c>
      <c r="C135" s="53" t="s">
        <v>304</v>
      </c>
      <c r="D135" s="82" t="s">
        <v>677</v>
      </c>
      <c r="E135" s="58">
        <v>1962</v>
      </c>
      <c r="F135" s="60">
        <v>397.6</v>
      </c>
      <c r="G135" s="60">
        <v>238.3</v>
      </c>
      <c r="H135" s="60">
        <v>0</v>
      </c>
      <c r="I135" s="60" t="s">
        <v>35</v>
      </c>
      <c r="J135" s="60"/>
      <c r="K135" s="60"/>
      <c r="L135" s="60"/>
      <c r="M135" s="60"/>
      <c r="N135" s="60"/>
      <c r="O135" s="60"/>
      <c r="P135" s="60">
        <f>2013*F135</f>
        <v>800368.8</v>
      </c>
      <c r="Q135" s="60"/>
      <c r="R135" s="60">
        <f>1657*F135</f>
        <v>658823.19999999995</v>
      </c>
      <c r="S135" s="60"/>
      <c r="T135" s="60"/>
      <c r="U135" s="60"/>
      <c r="V135" s="60"/>
      <c r="W135" s="62">
        <f t="shared" si="159"/>
        <v>1459192</v>
      </c>
      <c r="X135" s="60" t="s">
        <v>17</v>
      </c>
      <c r="Y135" s="59">
        <v>0</v>
      </c>
      <c r="Z135" s="59">
        <v>0</v>
      </c>
      <c r="AA135" s="59">
        <v>0</v>
      </c>
      <c r="AB135" s="56">
        <f t="shared" si="158"/>
        <v>1459192</v>
      </c>
    </row>
    <row r="136" spans="1:28" s="36" customFormat="1" ht="52.5" customHeight="1" x14ac:dyDescent="0.25">
      <c r="A136" s="36">
        <v>2018</v>
      </c>
      <c r="B136" s="53">
        <f>IF(OR(E136=0,E136=""),"",COUNTA($E$21:E136))</f>
        <v>100</v>
      </c>
      <c r="C136" s="53" t="s">
        <v>311</v>
      </c>
      <c r="D136" s="82" t="s">
        <v>678</v>
      </c>
      <c r="E136" s="58">
        <v>1962</v>
      </c>
      <c r="F136" s="60">
        <v>2535.1999999999998</v>
      </c>
      <c r="G136" s="60">
        <v>1618.7</v>
      </c>
      <c r="H136" s="60">
        <v>0</v>
      </c>
      <c r="I136" s="60" t="s">
        <v>36</v>
      </c>
      <c r="J136" s="60"/>
      <c r="K136" s="60"/>
      <c r="L136" s="60"/>
      <c r="M136" s="60"/>
      <c r="N136" s="60"/>
      <c r="O136" s="60"/>
      <c r="P136" s="60">
        <f t="shared" ref="P136:P142" si="166">1679*F136</f>
        <v>4256600.8</v>
      </c>
      <c r="Q136" s="60"/>
      <c r="R136" s="60">
        <f t="shared" ref="R136:R142" si="167">1525*F136</f>
        <v>3866180</v>
      </c>
      <c r="S136" s="60"/>
      <c r="T136" s="60"/>
      <c r="U136" s="60"/>
      <c r="V136" s="60"/>
      <c r="W136" s="62">
        <f t="shared" si="159"/>
        <v>8122780.7999999998</v>
      </c>
      <c r="X136" s="60" t="s">
        <v>17</v>
      </c>
      <c r="Y136" s="59">
        <v>0</v>
      </c>
      <c r="Z136" s="59">
        <v>0</v>
      </c>
      <c r="AA136" s="59">
        <v>0</v>
      </c>
      <c r="AB136" s="56">
        <f t="shared" si="158"/>
        <v>8122780.7999999998</v>
      </c>
    </row>
    <row r="137" spans="1:28" s="36" customFormat="1" ht="52.5" customHeight="1" x14ac:dyDescent="0.25">
      <c r="A137" s="36">
        <v>2018</v>
      </c>
      <c r="B137" s="53">
        <f>IF(OR(E137=0,E137=""),"",COUNTA($E$21:E137))</f>
        <v>101</v>
      </c>
      <c r="C137" s="53" t="s">
        <v>312</v>
      </c>
      <c r="D137" s="82" t="s">
        <v>679</v>
      </c>
      <c r="E137" s="58">
        <v>1962</v>
      </c>
      <c r="F137" s="60">
        <v>2728.3</v>
      </c>
      <c r="G137" s="60">
        <v>2536.3000000000002</v>
      </c>
      <c r="H137" s="60">
        <v>0</v>
      </c>
      <c r="I137" s="60" t="s">
        <v>36</v>
      </c>
      <c r="J137" s="60"/>
      <c r="K137" s="60"/>
      <c r="L137" s="60"/>
      <c r="M137" s="60"/>
      <c r="N137" s="60"/>
      <c r="O137" s="60"/>
      <c r="P137" s="60">
        <f t="shared" si="166"/>
        <v>4580815.7</v>
      </c>
      <c r="Q137" s="60"/>
      <c r="R137" s="60">
        <f t="shared" si="167"/>
        <v>4160657.5</v>
      </c>
      <c r="S137" s="60"/>
      <c r="T137" s="60"/>
      <c r="U137" s="60"/>
      <c r="V137" s="60"/>
      <c r="W137" s="62">
        <f t="shared" si="159"/>
        <v>8741473.1999999993</v>
      </c>
      <c r="X137" s="60" t="s">
        <v>17</v>
      </c>
      <c r="Y137" s="59">
        <v>0</v>
      </c>
      <c r="Z137" s="59">
        <v>0</v>
      </c>
      <c r="AA137" s="59">
        <v>0</v>
      </c>
      <c r="AB137" s="56">
        <f t="shared" si="158"/>
        <v>8741473.1999999993</v>
      </c>
    </row>
    <row r="138" spans="1:28" s="36" customFormat="1" ht="52.5" customHeight="1" x14ac:dyDescent="0.25">
      <c r="A138" s="36">
        <v>2018</v>
      </c>
      <c r="B138" s="53">
        <f>IF(OR(E138=0,E138=""),"",COUNTA($E$21:E138))</f>
        <v>102</v>
      </c>
      <c r="C138" s="53" t="s">
        <v>313</v>
      </c>
      <c r="D138" s="82" t="s">
        <v>680</v>
      </c>
      <c r="E138" s="58">
        <v>1963</v>
      </c>
      <c r="F138" s="60">
        <v>2799.1</v>
      </c>
      <c r="G138" s="60">
        <v>2580.8000000000002</v>
      </c>
      <c r="H138" s="60">
        <v>218.3</v>
      </c>
      <c r="I138" s="60" t="s">
        <v>36</v>
      </c>
      <c r="J138" s="60"/>
      <c r="K138" s="60"/>
      <c r="L138" s="60"/>
      <c r="M138" s="60"/>
      <c r="N138" s="60"/>
      <c r="O138" s="60"/>
      <c r="P138" s="60">
        <f t="shared" si="166"/>
        <v>4699688.9000000004</v>
      </c>
      <c r="Q138" s="60"/>
      <c r="R138" s="60">
        <f t="shared" si="167"/>
        <v>4268627.5</v>
      </c>
      <c r="S138" s="60"/>
      <c r="T138" s="60"/>
      <c r="U138" s="60"/>
      <c r="V138" s="60"/>
      <c r="W138" s="62">
        <f t="shared" si="159"/>
        <v>8968316.4000000004</v>
      </c>
      <c r="X138" s="60" t="s">
        <v>17</v>
      </c>
      <c r="Y138" s="59">
        <v>0</v>
      </c>
      <c r="Z138" s="59">
        <v>0</v>
      </c>
      <c r="AA138" s="59">
        <v>0</v>
      </c>
      <c r="AB138" s="56">
        <f t="shared" si="158"/>
        <v>8968316.4000000004</v>
      </c>
    </row>
    <row r="139" spans="1:28" s="36" customFormat="1" ht="52.5" customHeight="1" x14ac:dyDescent="0.25">
      <c r="A139" s="36">
        <v>2018</v>
      </c>
      <c r="B139" s="53">
        <f>IF(OR(E139=0,E139=""),"",COUNTA($E$21:E139))</f>
        <v>103</v>
      </c>
      <c r="C139" s="53" t="s">
        <v>314</v>
      </c>
      <c r="D139" s="82" t="s">
        <v>681</v>
      </c>
      <c r="E139" s="58">
        <v>1963</v>
      </c>
      <c r="F139" s="60">
        <v>1363.3</v>
      </c>
      <c r="G139" s="60">
        <v>1405.2</v>
      </c>
      <c r="H139" s="60">
        <v>161</v>
      </c>
      <c r="I139" s="60" t="s">
        <v>36</v>
      </c>
      <c r="J139" s="60"/>
      <c r="K139" s="60"/>
      <c r="L139" s="60"/>
      <c r="M139" s="60"/>
      <c r="N139" s="60"/>
      <c r="O139" s="60"/>
      <c r="P139" s="60">
        <f t="shared" si="166"/>
        <v>2288980.7000000002</v>
      </c>
      <c r="Q139" s="60"/>
      <c r="R139" s="60">
        <f t="shared" si="167"/>
        <v>2079032.5</v>
      </c>
      <c r="S139" s="60"/>
      <c r="T139" s="60"/>
      <c r="U139" s="60"/>
      <c r="V139" s="60"/>
      <c r="W139" s="62">
        <f t="shared" si="159"/>
        <v>4368013.2</v>
      </c>
      <c r="X139" s="60" t="s">
        <v>17</v>
      </c>
      <c r="Y139" s="59">
        <v>0</v>
      </c>
      <c r="Z139" s="59">
        <v>0</v>
      </c>
      <c r="AA139" s="59">
        <v>0</v>
      </c>
      <c r="AB139" s="56">
        <f t="shared" si="158"/>
        <v>4368013.2</v>
      </c>
    </row>
    <row r="140" spans="1:28" s="36" customFormat="1" ht="52.5" customHeight="1" x14ac:dyDescent="0.25">
      <c r="A140" s="36">
        <v>2018</v>
      </c>
      <c r="B140" s="53">
        <f>IF(OR(E140=0,E140=""),"",COUNTA($E$21:E140))</f>
        <v>104</v>
      </c>
      <c r="C140" s="53" t="s">
        <v>315</v>
      </c>
      <c r="D140" s="82" t="s">
        <v>682</v>
      </c>
      <c r="E140" s="58">
        <v>1963</v>
      </c>
      <c r="F140" s="60">
        <v>2944.4</v>
      </c>
      <c r="G140" s="60">
        <v>2188.1999999999998</v>
      </c>
      <c r="H140" s="60">
        <v>756.2</v>
      </c>
      <c r="I140" s="60" t="s">
        <v>36</v>
      </c>
      <c r="J140" s="60"/>
      <c r="K140" s="60"/>
      <c r="L140" s="60"/>
      <c r="M140" s="60"/>
      <c r="N140" s="60"/>
      <c r="O140" s="60"/>
      <c r="P140" s="60">
        <f t="shared" si="166"/>
        <v>4943647.5999999996</v>
      </c>
      <c r="Q140" s="60"/>
      <c r="R140" s="60">
        <f t="shared" si="167"/>
        <v>4490210</v>
      </c>
      <c r="S140" s="60"/>
      <c r="T140" s="60"/>
      <c r="U140" s="60"/>
      <c r="V140" s="60"/>
      <c r="W140" s="62">
        <f t="shared" si="159"/>
        <v>9433857.5999999996</v>
      </c>
      <c r="X140" s="60" t="s">
        <v>17</v>
      </c>
      <c r="Y140" s="59">
        <v>0</v>
      </c>
      <c r="Z140" s="59">
        <v>0</v>
      </c>
      <c r="AA140" s="59">
        <v>0</v>
      </c>
      <c r="AB140" s="56">
        <f t="shared" si="158"/>
        <v>9433857.5999999996</v>
      </c>
    </row>
    <row r="141" spans="1:28" s="36" customFormat="1" ht="52.5" customHeight="1" x14ac:dyDescent="0.25">
      <c r="A141" s="36">
        <v>2018</v>
      </c>
      <c r="B141" s="53">
        <f>IF(OR(E141=0,E141=""),"",COUNTA($E$21:E141))</f>
        <v>105</v>
      </c>
      <c r="C141" s="53" t="s">
        <v>317</v>
      </c>
      <c r="D141" s="82" t="s">
        <v>683</v>
      </c>
      <c r="E141" s="58">
        <v>1963</v>
      </c>
      <c r="F141" s="60">
        <v>2772.9</v>
      </c>
      <c r="G141" s="60">
        <v>2566.8000000000002</v>
      </c>
      <c r="H141" s="60">
        <v>0</v>
      </c>
      <c r="I141" s="60" t="s">
        <v>33</v>
      </c>
      <c r="J141" s="60"/>
      <c r="K141" s="60"/>
      <c r="L141" s="60"/>
      <c r="M141" s="60"/>
      <c r="N141" s="60"/>
      <c r="O141" s="60"/>
      <c r="P141" s="60">
        <f t="shared" si="166"/>
        <v>4655699.0999999996</v>
      </c>
      <c r="Q141" s="60"/>
      <c r="R141" s="60">
        <f t="shared" si="167"/>
        <v>4228672.5</v>
      </c>
      <c r="S141" s="60"/>
      <c r="T141" s="60"/>
      <c r="U141" s="60"/>
      <c r="V141" s="60"/>
      <c r="W141" s="62">
        <f t="shared" si="159"/>
        <v>8884371.5999999996</v>
      </c>
      <c r="X141" s="60" t="s">
        <v>17</v>
      </c>
      <c r="Y141" s="59">
        <v>0</v>
      </c>
      <c r="Z141" s="59">
        <v>0</v>
      </c>
      <c r="AA141" s="59">
        <v>0</v>
      </c>
      <c r="AB141" s="56">
        <f t="shared" si="158"/>
        <v>8884371.5999999996</v>
      </c>
    </row>
    <row r="142" spans="1:28" s="36" customFormat="1" ht="52.5" customHeight="1" x14ac:dyDescent="0.25">
      <c r="A142" s="36">
        <v>2018</v>
      </c>
      <c r="B142" s="53">
        <f>IF(OR(E142=0,E142=""),"",COUNTA($E$21:E142))</f>
        <v>106</v>
      </c>
      <c r="C142" s="53" t="s">
        <v>319</v>
      </c>
      <c r="D142" s="82" t="s">
        <v>684</v>
      </c>
      <c r="E142" s="58">
        <v>1962</v>
      </c>
      <c r="F142" s="60">
        <v>2731.6</v>
      </c>
      <c r="G142" s="60">
        <v>2534.5</v>
      </c>
      <c r="H142" s="60">
        <v>0</v>
      </c>
      <c r="I142" s="60" t="s">
        <v>36</v>
      </c>
      <c r="J142" s="60"/>
      <c r="K142" s="60"/>
      <c r="L142" s="60"/>
      <c r="M142" s="60"/>
      <c r="N142" s="60"/>
      <c r="O142" s="60"/>
      <c r="P142" s="60">
        <f t="shared" si="166"/>
        <v>4586356.4000000004</v>
      </c>
      <c r="Q142" s="60"/>
      <c r="R142" s="60">
        <f t="shared" si="167"/>
        <v>4165690</v>
      </c>
      <c r="S142" s="60"/>
      <c r="T142" s="60"/>
      <c r="U142" s="60"/>
      <c r="V142" s="60"/>
      <c r="W142" s="62">
        <f t="shared" si="159"/>
        <v>8752046.4000000004</v>
      </c>
      <c r="X142" s="60" t="s">
        <v>17</v>
      </c>
      <c r="Y142" s="59">
        <v>0</v>
      </c>
      <c r="Z142" s="59">
        <v>0</v>
      </c>
      <c r="AA142" s="59">
        <v>0</v>
      </c>
      <c r="AB142" s="56">
        <f t="shared" si="158"/>
        <v>8752046.4000000004</v>
      </c>
    </row>
    <row r="143" spans="1:28" s="36" customFormat="1" ht="52.5" customHeight="1" x14ac:dyDescent="0.25">
      <c r="A143" s="36">
        <v>2018</v>
      </c>
      <c r="B143" s="53">
        <f>IF(OR(E143=0,E143=""),"",COUNTA($E$21:E143))</f>
        <v>107</v>
      </c>
      <c r="C143" s="53" t="s">
        <v>324</v>
      </c>
      <c r="D143" s="82" t="s">
        <v>685</v>
      </c>
      <c r="E143" s="58">
        <v>1962</v>
      </c>
      <c r="F143" s="60">
        <v>976.4</v>
      </c>
      <c r="G143" s="60">
        <v>534.07000000000005</v>
      </c>
      <c r="H143" s="60">
        <v>0</v>
      </c>
      <c r="I143" s="60" t="s">
        <v>35</v>
      </c>
      <c r="J143" s="60"/>
      <c r="K143" s="60"/>
      <c r="L143" s="60"/>
      <c r="M143" s="60"/>
      <c r="N143" s="60"/>
      <c r="O143" s="60"/>
      <c r="P143" s="60">
        <f t="shared" ref="P143:P146" si="168">2013*F143</f>
        <v>1965493.2</v>
      </c>
      <c r="Q143" s="60"/>
      <c r="R143" s="60">
        <f t="shared" ref="R143:R146" si="169">1657*F143</f>
        <v>1617894.8</v>
      </c>
      <c r="S143" s="60"/>
      <c r="T143" s="60"/>
      <c r="U143" s="60"/>
      <c r="V143" s="60"/>
      <c r="W143" s="62">
        <f t="shared" si="159"/>
        <v>3583388</v>
      </c>
      <c r="X143" s="60" t="s">
        <v>17</v>
      </c>
      <c r="Y143" s="59">
        <v>0</v>
      </c>
      <c r="Z143" s="59">
        <v>0</v>
      </c>
      <c r="AA143" s="59">
        <v>0</v>
      </c>
      <c r="AB143" s="56">
        <f t="shared" si="158"/>
        <v>3583388</v>
      </c>
    </row>
    <row r="144" spans="1:28" s="36" customFormat="1" ht="52.5" customHeight="1" x14ac:dyDescent="0.25">
      <c r="A144" s="36">
        <v>2018</v>
      </c>
      <c r="B144" s="53">
        <f>IF(OR(E144=0,E144=""),"",COUNTA($E$21:E144))</f>
        <v>108</v>
      </c>
      <c r="C144" s="53" t="s">
        <v>325</v>
      </c>
      <c r="D144" s="82" t="s">
        <v>686</v>
      </c>
      <c r="E144" s="58">
        <v>1962</v>
      </c>
      <c r="F144" s="60">
        <v>736.7</v>
      </c>
      <c r="G144" s="60">
        <v>397.5</v>
      </c>
      <c r="H144" s="60">
        <v>0</v>
      </c>
      <c r="I144" s="60" t="s">
        <v>35</v>
      </c>
      <c r="J144" s="60"/>
      <c r="K144" s="60"/>
      <c r="L144" s="60"/>
      <c r="M144" s="60"/>
      <c r="N144" s="60"/>
      <c r="O144" s="60"/>
      <c r="P144" s="60">
        <f t="shared" si="168"/>
        <v>1482977.1</v>
      </c>
      <c r="Q144" s="60"/>
      <c r="R144" s="60">
        <f t="shared" si="169"/>
        <v>1220711.8999999999</v>
      </c>
      <c r="S144" s="60"/>
      <c r="T144" s="60"/>
      <c r="U144" s="60"/>
      <c r="V144" s="60"/>
      <c r="W144" s="62">
        <f t="shared" si="159"/>
        <v>2703689</v>
      </c>
      <c r="X144" s="60" t="s">
        <v>17</v>
      </c>
      <c r="Y144" s="59">
        <v>0</v>
      </c>
      <c r="Z144" s="59">
        <v>0</v>
      </c>
      <c r="AA144" s="59">
        <v>0</v>
      </c>
      <c r="AB144" s="56">
        <f t="shared" si="158"/>
        <v>2703689</v>
      </c>
    </row>
    <row r="145" spans="1:28" s="36" customFormat="1" ht="52.5" customHeight="1" x14ac:dyDescent="0.25">
      <c r="A145" s="36">
        <v>2018</v>
      </c>
      <c r="B145" s="53">
        <f>IF(OR(E145=0,E145=""),"",COUNTA($E$21:E145))</f>
        <v>109</v>
      </c>
      <c r="C145" s="53" t="s">
        <v>326</v>
      </c>
      <c r="D145" s="82" t="s">
        <v>687</v>
      </c>
      <c r="E145" s="58">
        <v>1962</v>
      </c>
      <c r="F145" s="60">
        <v>501</v>
      </c>
      <c r="G145" s="60">
        <v>279</v>
      </c>
      <c r="H145" s="60">
        <v>0</v>
      </c>
      <c r="I145" s="60" t="s">
        <v>35</v>
      </c>
      <c r="J145" s="60"/>
      <c r="K145" s="60"/>
      <c r="L145" s="60"/>
      <c r="M145" s="60"/>
      <c r="N145" s="60"/>
      <c r="O145" s="60"/>
      <c r="P145" s="60">
        <f t="shared" si="168"/>
        <v>1008513</v>
      </c>
      <c r="Q145" s="60"/>
      <c r="R145" s="60">
        <f t="shared" si="169"/>
        <v>830157</v>
      </c>
      <c r="S145" s="60"/>
      <c r="T145" s="60"/>
      <c r="U145" s="60"/>
      <c r="V145" s="60"/>
      <c r="W145" s="62">
        <f t="shared" si="159"/>
        <v>1838670</v>
      </c>
      <c r="X145" s="60" t="s">
        <v>17</v>
      </c>
      <c r="Y145" s="59">
        <v>0</v>
      </c>
      <c r="Z145" s="59">
        <v>0</v>
      </c>
      <c r="AA145" s="59">
        <v>0</v>
      </c>
      <c r="AB145" s="56">
        <f t="shared" si="158"/>
        <v>1838670</v>
      </c>
    </row>
    <row r="146" spans="1:28" s="36" customFormat="1" ht="52.5" customHeight="1" x14ac:dyDescent="0.25">
      <c r="A146" s="36">
        <v>2018</v>
      </c>
      <c r="B146" s="53">
        <f>IF(OR(E146=0,E146=""),"",COUNTA($E$21:E146))</f>
        <v>110</v>
      </c>
      <c r="C146" s="53" t="s">
        <v>328</v>
      </c>
      <c r="D146" s="82" t="s">
        <v>688</v>
      </c>
      <c r="E146" s="58">
        <v>1960</v>
      </c>
      <c r="F146" s="60">
        <v>280.60000000000002</v>
      </c>
      <c r="G146" s="60">
        <v>195.8</v>
      </c>
      <c r="H146" s="60">
        <v>0</v>
      </c>
      <c r="I146" s="60" t="s">
        <v>35</v>
      </c>
      <c r="J146" s="60">
        <f>431*F146</f>
        <v>120938.6</v>
      </c>
      <c r="K146" s="60"/>
      <c r="L146" s="60"/>
      <c r="M146" s="60">
        <f>223*F146</f>
        <v>62573.8</v>
      </c>
      <c r="N146" s="60">
        <f>134*F146</f>
        <v>37600.400000000001</v>
      </c>
      <c r="O146" s="60"/>
      <c r="P146" s="60">
        <f t="shared" si="168"/>
        <v>564847.80000000005</v>
      </c>
      <c r="Q146" s="60"/>
      <c r="R146" s="60">
        <f t="shared" si="169"/>
        <v>464954.2</v>
      </c>
      <c r="S146" s="60">
        <f>134*F146</f>
        <v>37600.400000000001</v>
      </c>
      <c r="T146" s="60"/>
      <c r="U146" s="60">
        <f>50*F146</f>
        <v>14030</v>
      </c>
      <c r="V146" s="60">
        <f>(J146+K146+L146+M146+N146+O146+P146+Q146+R146+S146+T146)*0.0214</f>
        <v>27574.23</v>
      </c>
      <c r="W146" s="62">
        <f t="shared" si="159"/>
        <v>1330119.43</v>
      </c>
      <c r="X146" s="60" t="s">
        <v>17</v>
      </c>
      <c r="Y146" s="59">
        <v>0</v>
      </c>
      <c r="Z146" s="59">
        <v>0</v>
      </c>
      <c r="AA146" s="59">
        <v>0</v>
      </c>
      <c r="AB146" s="56">
        <f t="shared" si="158"/>
        <v>1330119.43</v>
      </c>
    </row>
    <row r="147" spans="1:28" s="36" customFormat="1" ht="52.5" customHeight="1" x14ac:dyDescent="0.25">
      <c r="A147" s="36">
        <v>2018</v>
      </c>
      <c r="B147" s="53">
        <f>IF(OR(E147=0,E147=""),"",COUNTA($E$21:E147))</f>
        <v>111</v>
      </c>
      <c r="C147" s="53" t="s">
        <v>338</v>
      </c>
      <c r="D147" s="82" t="s">
        <v>689</v>
      </c>
      <c r="E147" s="58">
        <v>1963</v>
      </c>
      <c r="F147" s="60">
        <v>2117.3000000000002</v>
      </c>
      <c r="G147" s="60">
        <v>1972.3</v>
      </c>
      <c r="H147" s="60">
        <v>0</v>
      </c>
      <c r="I147" s="60" t="s">
        <v>36</v>
      </c>
      <c r="J147" s="60"/>
      <c r="K147" s="60"/>
      <c r="L147" s="60"/>
      <c r="M147" s="60"/>
      <c r="N147" s="60"/>
      <c r="O147" s="60"/>
      <c r="P147" s="60">
        <f t="shared" ref="P147:P150" si="170">1679*F147</f>
        <v>3554946.7</v>
      </c>
      <c r="Q147" s="60"/>
      <c r="R147" s="60">
        <f t="shared" ref="R147:R150" si="171">1525*F147</f>
        <v>3228882.5</v>
      </c>
      <c r="S147" s="60"/>
      <c r="T147" s="60"/>
      <c r="U147" s="60"/>
      <c r="V147" s="60"/>
      <c r="W147" s="62">
        <f t="shared" si="159"/>
        <v>6783829.2000000002</v>
      </c>
      <c r="X147" s="60" t="s">
        <v>17</v>
      </c>
      <c r="Y147" s="59">
        <v>0</v>
      </c>
      <c r="Z147" s="59">
        <v>0</v>
      </c>
      <c r="AA147" s="59">
        <v>0</v>
      </c>
      <c r="AB147" s="56">
        <f t="shared" si="158"/>
        <v>6783829.2000000002</v>
      </c>
    </row>
    <row r="148" spans="1:28" s="36" customFormat="1" ht="52.5" customHeight="1" x14ac:dyDescent="0.25">
      <c r="A148" s="36">
        <v>2018</v>
      </c>
      <c r="B148" s="53">
        <f>IF(OR(E148=0,E148=""),"",COUNTA($E$21:E148))</f>
        <v>112</v>
      </c>
      <c r="C148" s="53" t="s">
        <v>339</v>
      </c>
      <c r="D148" s="82" t="s">
        <v>690</v>
      </c>
      <c r="E148" s="58">
        <v>1963</v>
      </c>
      <c r="F148" s="60">
        <v>1705</v>
      </c>
      <c r="G148" s="60">
        <v>1258.8</v>
      </c>
      <c r="H148" s="60">
        <v>0</v>
      </c>
      <c r="I148" s="60" t="s">
        <v>36</v>
      </c>
      <c r="J148" s="60"/>
      <c r="K148" s="60"/>
      <c r="L148" s="60"/>
      <c r="M148" s="60"/>
      <c r="N148" s="60"/>
      <c r="O148" s="60"/>
      <c r="P148" s="60">
        <f t="shared" si="170"/>
        <v>2862695</v>
      </c>
      <c r="Q148" s="60"/>
      <c r="R148" s="60">
        <f t="shared" si="171"/>
        <v>2600125</v>
      </c>
      <c r="S148" s="60"/>
      <c r="T148" s="60"/>
      <c r="U148" s="60"/>
      <c r="V148" s="60"/>
      <c r="W148" s="62">
        <f t="shared" si="159"/>
        <v>5462820</v>
      </c>
      <c r="X148" s="60" t="s">
        <v>17</v>
      </c>
      <c r="Y148" s="59">
        <v>0</v>
      </c>
      <c r="Z148" s="59">
        <v>0</v>
      </c>
      <c r="AA148" s="59">
        <v>0</v>
      </c>
      <c r="AB148" s="56">
        <f t="shared" si="158"/>
        <v>5462820</v>
      </c>
    </row>
    <row r="149" spans="1:28" s="36" customFormat="1" ht="52.5" customHeight="1" x14ac:dyDescent="0.25">
      <c r="A149" s="36">
        <v>2018</v>
      </c>
      <c r="B149" s="53">
        <f>IF(OR(E149=0,E149=""),"",COUNTA($E$21:E149))</f>
        <v>113</v>
      </c>
      <c r="C149" s="53" t="s">
        <v>341</v>
      </c>
      <c r="D149" s="82" t="s">
        <v>691</v>
      </c>
      <c r="E149" s="58">
        <v>1963</v>
      </c>
      <c r="F149" s="60">
        <v>1849.05</v>
      </c>
      <c r="G149" s="60">
        <v>1286.73</v>
      </c>
      <c r="H149" s="60">
        <v>0</v>
      </c>
      <c r="I149" s="60" t="s">
        <v>36</v>
      </c>
      <c r="J149" s="60"/>
      <c r="K149" s="60"/>
      <c r="L149" s="60"/>
      <c r="M149" s="60"/>
      <c r="N149" s="60"/>
      <c r="O149" s="60"/>
      <c r="P149" s="60">
        <f t="shared" si="170"/>
        <v>3104554.95</v>
      </c>
      <c r="Q149" s="60"/>
      <c r="R149" s="60">
        <f t="shared" si="171"/>
        <v>2819801.25</v>
      </c>
      <c r="S149" s="60"/>
      <c r="T149" s="60"/>
      <c r="U149" s="60"/>
      <c r="V149" s="60"/>
      <c r="W149" s="62">
        <f t="shared" si="159"/>
        <v>5924356.2000000002</v>
      </c>
      <c r="X149" s="60" t="s">
        <v>17</v>
      </c>
      <c r="Y149" s="59">
        <v>0</v>
      </c>
      <c r="Z149" s="59">
        <v>0</v>
      </c>
      <c r="AA149" s="59">
        <v>0</v>
      </c>
      <c r="AB149" s="56">
        <f t="shared" si="158"/>
        <v>5924356.2000000002</v>
      </c>
    </row>
    <row r="150" spans="1:28" s="36" customFormat="1" ht="52.5" customHeight="1" x14ac:dyDescent="0.25">
      <c r="A150" s="36">
        <v>2018</v>
      </c>
      <c r="B150" s="53">
        <f>IF(OR(E150=0,E150=""),"",COUNTA($E$21:E150))</f>
        <v>114</v>
      </c>
      <c r="C150" s="53" t="s">
        <v>342</v>
      </c>
      <c r="D150" s="82" t="s">
        <v>692</v>
      </c>
      <c r="E150" s="58">
        <v>1962</v>
      </c>
      <c r="F150" s="60">
        <v>1716.7</v>
      </c>
      <c r="G150" s="60">
        <v>1256.8</v>
      </c>
      <c r="H150" s="60">
        <v>0</v>
      </c>
      <c r="I150" s="60" t="s">
        <v>36</v>
      </c>
      <c r="J150" s="60"/>
      <c r="K150" s="60"/>
      <c r="L150" s="60"/>
      <c r="M150" s="60"/>
      <c r="N150" s="60"/>
      <c r="O150" s="60"/>
      <c r="P150" s="60">
        <f t="shared" si="170"/>
        <v>2882339.3</v>
      </c>
      <c r="Q150" s="60"/>
      <c r="R150" s="60">
        <f t="shared" si="171"/>
        <v>2617967.5</v>
      </c>
      <c r="S150" s="60"/>
      <c r="T150" s="60"/>
      <c r="U150" s="60"/>
      <c r="V150" s="60"/>
      <c r="W150" s="62">
        <f t="shared" si="159"/>
        <v>5500306.7999999998</v>
      </c>
      <c r="X150" s="60" t="s">
        <v>17</v>
      </c>
      <c r="Y150" s="59">
        <v>0</v>
      </c>
      <c r="Z150" s="59">
        <v>0</v>
      </c>
      <c r="AA150" s="59">
        <v>0</v>
      </c>
      <c r="AB150" s="56">
        <f t="shared" si="158"/>
        <v>5500306.7999999998</v>
      </c>
    </row>
    <row r="151" spans="1:28" s="36" customFormat="1" ht="52.5" customHeight="1" x14ac:dyDescent="0.25">
      <c r="A151" s="36">
        <v>2018</v>
      </c>
      <c r="B151" s="53">
        <f>IF(OR(E151=0,E151=""),"",COUNTA($E$21:E151))</f>
        <v>115</v>
      </c>
      <c r="C151" s="53" t="s">
        <v>407</v>
      </c>
      <c r="D151" s="82" t="s">
        <v>693</v>
      </c>
      <c r="E151" s="58">
        <v>1962</v>
      </c>
      <c r="F151" s="60">
        <v>758.1</v>
      </c>
      <c r="G151" s="60">
        <v>419.8</v>
      </c>
      <c r="H151" s="60">
        <v>0</v>
      </c>
      <c r="I151" s="60" t="s">
        <v>35</v>
      </c>
      <c r="J151" s="60"/>
      <c r="K151" s="60"/>
      <c r="L151" s="60"/>
      <c r="M151" s="60"/>
      <c r="N151" s="60"/>
      <c r="O151" s="60"/>
      <c r="P151" s="60">
        <f>2013*F151</f>
        <v>1526055.3</v>
      </c>
      <c r="Q151" s="60"/>
      <c r="R151" s="60">
        <f>1657*F151</f>
        <v>1256171.7</v>
      </c>
      <c r="S151" s="60"/>
      <c r="T151" s="60"/>
      <c r="U151" s="60"/>
      <c r="V151" s="60"/>
      <c r="W151" s="62">
        <f t="shared" si="159"/>
        <v>2782227</v>
      </c>
      <c r="X151" s="60" t="s">
        <v>17</v>
      </c>
      <c r="Y151" s="59">
        <v>0</v>
      </c>
      <c r="Z151" s="59">
        <v>0</v>
      </c>
      <c r="AA151" s="59">
        <v>0</v>
      </c>
      <c r="AB151" s="56">
        <f t="shared" si="158"/>
        <v>2782227</v>
      </c>
    </row>
    <row r="152" spans="1:28" s="36" customFormat="1" ht="52.5" customHeight="1" x14ac:dyDescent="0.25">
      <c r="A152" s="36">
        <v>2018</v>
      </c>
      <c r="B152" s="53">
        <f>IF(OR(E152=0,E152=""),"",COUNTA($E$21:E152))</f>
        <v>116</v>
      </c>
      <c r="C152" s="53" t="s">
        <v>427</v>
      </c>
      <c r="D152" s="82" t="s">
        <v>694</v>
      </c>
      <c r="E152" s="58">
        <v>1962</v>
      </c>
      <c r="F152" s="60">
        <v>1614.9</v>
      </c>
      <c r="G152" s="60">
        <v>1631.4</v>
      </c>
      <c r="H152" s="60">
        <v>72.2</v>
      </c>
      <c r="I152" s="60" t="s">
        <v>36</v>
      </c>
      <c r="J152" s="60"/>
      <c r="K152" s="60"/>
      <c r="L152" s="60"/>
      <c r="M152" s="60"/>
      <c r="N152" s="60"/>
      <c r="O152" s="60"/>
      <c r="P152" s="60">
        <f>1679*F152</f>
        <v>2711417.1</v>
      </c>
      <c r="Q152" s="60"/>
      <c r="R152" s="60"/>
      <c r="S152" s="60"/>
      <c r="T152" s="60"/>
      <c r="U152" s="60"/>
      <c r="V152" s="60"/>
      <c r="W152" s="62">
        <f t="shared" si="159"/>
        <v>2711417.1</v>
      </c>
      <c r="X152" s="60" t="s">
        <v>17</v>
      </c>
      <c r="Y152" s="59">
        <v>0</v>
      </c>
      <c r="Z152" s="59">
        <v>0</v>
      </c>
      <c r="AA152" s="59">
        <v>0</v>
      </c>
      <c r="AB152" s="56">
        <f t="shared" si="158"/>
        <v>2711417.1</v>
      </c>
    </row>
    <row r="153" spans="1:28" s="36" customFormat="1" ht="52.5" customHeight="1" x14ac:dyDescent="0.25">
      <c r="A153" s="36">
        <v>2018</v>
      </c>
      <c r="B153" s="53">
        <f>IF(OR(E153=0,E153=""),"",COUNTA($E$21:E153))</f>
        <v>117</v>
      </c>
      <c r="C153" s="53" t="s">
        <v>428</v>
      </c>
      <c r="D153" s="82" t="s">
        <v>695</v>
      </c>
      <c r="E153" s="58">
        <v>1962</v>
      </c>
      <c r="F153" s="60">
        <v>288.2</v>
      </c>
      <c r="G153" s="60">
        <v>265.89999999999998</v>
      </c>
      <c r="H153" s="60">
        <v>0</v>
      </c>
      <c r="I153" s="60" t="s">
        <v>37</v>
      </c>
      <c r="J153" s="60"/>
      <c r="K153" s="60"/>
      <c r="L153" s="60"/>
      <c r="M153" s="60"/>
      <c r="N153" s="60"/>
      <c r="O153" s="60"/>
      <c r="P153" s="60">
        <f t="shared" ref="P153:P155" si="172">2013*F153</f>
        <v>580146.6</v>
      </c>
      <c r="Q153" s="60"/>
      <c r="R153" s="60">
        <f t="shared" ref="R153:R155" si="173">1657*F153</f>
        <v>477547.4</v>
      </c>
      <c r="S153" s="60"/>
      <c r="T153" s="60"/>
      <c r="U153" s="60"/>
      <c r="V153" s="60"/>
      <c r="W153" s="62">
        <f t="shared" si="159"/>
        <v>1057694</v>
      </c>
      <c r="X153" s="60" t="s">
        <v>17</v>
      </c>
      <c r="Y153" s="59">
        <v>0</v>
      </c>
      <c r="Z153" s="59">
        <v>0</v>
      </c>
      <c r="AA153" s="59">
        <v>0</v>
      </c>
      <c r="AB153" s="56">
        <f t="shared" si="158"/>
        <v>1057694</v>
      </c>
    </row>
    <row r="154" spans="1:28" s="36" customFormat="1" ht="52.5" customHeight="1" x14ac:dyDescent="0.25">
      <c r="A154" s="36">
        <v>2018</v>
      </c>
      <c r="B154" s="53">
        <f>IF(OR(E154=0,E154=""),"",COUNTA($E$21:E154))</f>
        <v>118</v>
      </c>
      <c r="C154" s="53" t="s">
        <v>429</v>
      </c>
      <c r="D154" s="82" t="s">
        <v>696</v>
      </c>
      <c r="E154" s="58">
        <v>1962</v>
      </c>
      <c r="F154" s="60">
        <v>302.89999999999998</v>
      </c>
      <c r="G154" s="60">
        <v>280.8</v>
      </c>
      <c r="H154" s="60">
        <v>0</v>
      </c>
      <c r="I154" s="60" t="s">
        <v>35</v>
      </c>
      <c r="J154" s="60"/>
      <c r="K154" s="60"/>
      <c r="L154" s="60"/>
      <c r="M154" s="60"/>
      <c r="N154" s="60"/>
      <c r="O154" s="60"/>
      <c r="P154" s="60">
        <f t="shared" si="172"/>
        <v>609737.69999999995</v>
      </c>
      <c r="Q154" s="60"/>
      <c r="R154" s="60">
        <f t="shared" si="173"/>
        <v>501905.3</v>
      </c>
      <c r="S154" s="60"/>
      <c r="T154" s="60"/>
      <c r="U154" s="60"/>
      <c r="V154" s="60"/>
      <c r="W154" s="62">
        <f t="shared" ref="W154:W185" si="174">V154+U154+T154+S154+R154+Q154+P154+O154+N154+M154+L154+K154+J154</f>
        <v>1111643</v>
      </c>
      <c r="X154" s="60" t="s">
        <v>17</v>
      </c>
      <c r="Y154" s="59">
        <v>0</v>
      </c>
      <c r="Z154" s="59">
        <v>0</v>
      </c>
      <c r="AA154" s="59">
        <v>0</v>
      </c>
      <c r="AB154" s="56">
        <f t="shared" si="158"/>
        <v>1111643</v>
      </c>
    </row>
    <row r="155" spans="1:28" s="36" customFormat="1" ht="52.5" customHeight="1" x14ac:dyDescent="0.25">
      <c r="A155" s="36">
        <v>2018</v>
      </c>
      <c r="B155" s="53">
        <f>IF(OR(E155=0,E155=""),"",COUNTA($E$21:E155))</f>
        <v>119</v>
      </c>
      <c r="C155" s="53" t="s">
        <v>435</v>
      </c>
      <c r="D155" s="82" t="s">
        <v>697</v>
      </c>
      <c r="E155" s="58">
        <v>1962</v>
      </c>
      <c r="F155" s="60">
        <v>580.20000000000005</v>
      </c>
      <c r="G155" s="60">
        <v>530.6</v>
      </c>
      <c r="H155" s="60">
        <v>0</v>
      </c>
      <c r="I155" s="60" t="s">
        <v>35</v>
      </c>
      <c r="J155" s="60"/>
      <c r="K155" s="60"/>
      <c r="L155" s="60"/>
      <c r="M155" s="60"/>
      <c r="N155" s="60"/>
      <c r="O155" s="60"/>
      <c r="P155" s="60">
        <f t="shared" si="172"/>
        <v>1167942.6000000001</v>
      </c>
      <c r="Q155" s="60"/>
      <c r="R155" s="60">
        <f t="shared" si="173"/>
        <v>961391.4</v>
      </c>
      <c r="S155" s="60"/>
      <c r="T155" s="60"/>
      <c r="U155" s="60"/>
      <c r="V155" s="60"/>
      <c r="W155" s="62">
        <f t="shared" si="174"/>
        <v>2129334</v>
      </c>
      <c r="X155" s="60" t="s">
        <v>17</v>
      </c>
      <c r="Y155" s="59">
        <v>0</v>
      </c>
      <c r="Z155" s="59">
        <v>0</v>
      </c>
      <c r="AA155" s="59">
        <v>0</v>
      </c>
      <c r="AB155" s="56">
        <f t="shared" si="158"/>
        <v>2129334</v>
      </c>
    </row>
    <row r="156" spans="1:28" s="36" customFormat="1" ht="52.5" customHeight="1" x14ac:dyDescent="0.25">
      <c r="A156" s="36">
        <v>2018</v>
      </c>
      <c r="B156" s="53">
        <f>IF(OR(E156=0,E156=""),"",COUNTA($E$21:E156))</f>
        <v>120</v>
      </c>
      <c r="C156" s="53" t="s">
        <v>440</v>
      </c>
      <c r="D156" s="82" t="s">
        <v>698</v>
      </c>
      <c r="E156" s="58">
        <v>1962</v>
      </c>
      <c r="F156" s="60">
        <v>3454.8</v>
      </c>
      <c r="G156" s="60">
        <v>2541.4</v>
      </c>
      <c r="H156" s="60">
        <v>0</v>
      </c>
      <c r="I156" s="60" t="s">
        <v>36</v>
      </c>
      <c r="J156" s="60"/>
      <c r="K156" s="60"/>
      <c r="L156" s="60"/>
      <c r="M156" s="60"/>
      <c r="N156" s="60"/>
      <c r="O156" s="60"/>
      <c r="P156" s="60">
        <f t="shared" ref="P156:P178" si="175">1679*F156</f>
        <v>5800609.2000000002</v>
      </c>
      <c r="Q156" s="60"/>
      <c r="R156" s="60">
        <f t="shared" ref="R156:R178" si="176">1525*F156</f>
        <v>5268570</v>
      </c>
      <c r="S156" s="60"/>
      <c r="T156" s="60"/>
      <c r="U156" s="60"/>
      <c r="V156" s="60"/>
      <c r="W156" s="62">
        <f t="shared" si="174"/>
        <v>11069179.199999999</v>
      </c>
      <c r="X156" s="60" t="s">
        <v>17</v>
      </c>
      <c r="Y156" s="59">
        <v>0</v>
      </c>
      <c r="Z156" s="59">
        <v>0</v>
      </c>
      <c r="AA156" s="59">
        <v>0</v>
      </c>
      <c r="AB156" s="56">
        <f t="shared" si="158"/>
        <v>11069179.199999999</v>
      </c>
    </row>
    <row r="157" spans="1:28" s="36" customFormat="1" ht="52.5" customHeight="1" x14ac:dyDescent="0.25">
      <c r="A157" s="36">
        <v>2018</v>
      </c>
      <c r="B157" s="53">
        <f>IF(OR(E157=0,E157=""),"",COUNTA($E$21:E157))</f>
        <v>121</v>
      </c>
      <c r="C157" s="53" t="s">
        <v>439</v>
      </c>
      <c r="D157" s="82" t="s">
        <v>699</v>
      </c>
      <c r="E157" s="58">
        <v>1963</v>
      </c>
      <c r="F157" s="60">
        <v>1345.1</v>
      </c>
      <c r="G157" s="60">
        <v>1252</v>
      </c>
      <c r="H157" s="60">
        <v>0</v>
      </c>
      <c r="I157" s="60" t="s">
        <v>36</v>
      </c>
      <c r="J157" s="60"/>
      <c r="K157" s="60"/>
      <c r="L157" s="60"/>
      <c r="M157" s="60"/>
      <c r="N157" s="60"/>
      <c r="O157" s="60"/>
      <c r="P157" s="60">
        <f t="shared" si="175"/>
        <v>2258422.9</v>
      </c>
      <c r="Q157" s="60"/>
      <c r="R157" s="60">
        <f t="shared" si="176"/>
        <v>2051277.5</v>
      </c>
      <c r="S157" s="60"/>
      <c r="T157" s="60"/>
      <c r="U157" s="60"/>
      <c r="V157" s="60"/>
      <c r="W157" s="62">
        <f t="shared" si="174"/>
        <v>4309700.4000000004</v>
      </c>
      <c r="X157" s="60" t="s">
        <v>17</v>
      </c>
      <c r="Y157" s="59">
        <v>0</v>
      </c>
      <c r="Z157" s="59">
        <v>0</v>
      </c>
      <c r="AA157" s="59">
        <v>0</v>
      </c>
      <c r="AB157" s="56">
        <f t="shared" si="158"/>
        <v>4309700.4000000004</v>
      </c>
    </row>
    <row r="158" spans="1:28" s="36" customFormat="1" ht="52.5" customHeight="1" x14ac:dyDescent="0.25">
      <c r="A158" s="36">
        <v>2018</v>
      </c>
      <c r="B158" s="53">
        <f>IF(OR(E158=0,E158=""),"",COUNTA($E$21:E158))</f>
        <v>122</v>
      </c>
      <c r="C158" s="53" t="s">
        <v>446</v>
      </c>
      <c r="D158" s="82" t="s">
        <v>700</v>
      </c>
      <c r="E158" s="58">
        <v>1962</v>
      </c>
      <c r="F158" s="60">
        <v>3454.8</v>
      </c>
      <c r="G158" s="60">
        <v>2541.4</v>
      </c>
      <c r="H158" s="60">
        <v>0</v>
      </c>
      <c r="I158" s="60" t="s">
        <v>33</v>
      </c>
      <c r="J158" s="60"/>
      <c r="K158" s="60"/>
      <c r="L158" s="60"/>
      <c r="M158" s="60"/>
      <c r="N158" s="60"/>
      <c r="O158" s="60"/>
      <c r="P158" s="60">
        <f t="shared" si="175"/>
        <v>5800609.2000000002</v>
      </c>
      <c r="Q158" s="60"/>
      <c r="R158" s="60">
        <f t="shared" si="176"/>
        <v>5268570</v>
      </c>
      <c r="S158" s="60"/>
      <c r="T158" s="60"/>
      <c r="U158" s="60"/>
      <c r="V158" s="60"/>
      <c r="W158" s="62">
        <f t="shared" si="174"/>
        <v>11069179.199999999</v>
      </c>
      <c r="X158" s="60" t="s">
        <v>17</v>
      </c>
      <c r="Y158" s="59">
        <v>0</v>
      </c>
      <c r="Z158" s="59">
        <v>0</v>
      </c>
      <c r="AA158" s="59">
        <v>0</v>
      </c>
      <c r="AB158" s="56">
        <f t="shared" si="158"/>
        <v>11069179.199999999</v>
      </c>
    </row>
    <row r="159" spans="1:28" s="36" customFormat="1" ht="52.5" customHeight="1" x14ac:dyDescent="0.25">
      <c r="A159" s="36">
        <v>2018</v>
      </c>
      <c r="B159" s="53">
        <f>IF(OR(E159=0,E159=""),"",COUNTA($E$21:E159))</f>
        <v>123</v>
      </c>
      <c r="C159" s="53" t="s">
        <v>447</v>
      </c>
      <c r="D159" s="82" t="s">
        <v>701</v>
      </c>
      <c r="E159" s="58">
        <v>1962</v>
      </c>
      <c r="F159" s="60">
        <v>3454.8</v>
      </c>
      <c r="G159" s="60">
        <v>2541.4</v>
      </c>
      <c r="H159" s="60">
        <v>0</v>
      </c>
      <c r="I159" s="60" t="s">
        <v>33</v>
      </c>
      <c r="J159" s="60"/>
      <c r="K159" s="60"/>
      <c r="L159" s="60"/>
      <c r="M159" s="60"/>
      <c r="N159" s="60"/>
      <c r="O159" s="60"/>
      <c r="P159" s="60">
        <f t="shared" si="175"/>
        <v>5800609.2000000002</v>
      </c>
      <c r="Q159" s="60"/>
      <c r="R159" s="60">
        <f t="shared" si="176"/>
        <v>5268570</v>
      </c>
      <c r="S159" s="60"/>
      <c r="T159" s="60"/>
      <c r="U159" s="60"/>
      <c r="V159" s="60"/>
      <c r="W159" s="62">
        <f t="shared" si="174"/>
        <v>11069179.199999999</v>
      </c>
      <c r="X159" s="60" t="s">
        <v>17</v>
      </c>
      <c r="Y159" s="59">
        <v>0</v>
      </c>
      <c r="Z159" s="59">
        <v>0</v>
      </c>
      <c r="AA159" s="59">
        <v>0</v>
      </c>
      <c r="AB159" s="56">
        <f t="shared" si="158"/>
        <v>11069179.199999999</v>
      </c>
    </row>
    <row r="160" spans="1:28" s="36" customFormat="1" ht="52.5" customHeight="1" x14ac:dyDescent="0.25">
      <c r="A160" s="36">
        <v>2018</v>
      </c>
      <c r="B160" s="53">
        <f>IF(OR(E160=0,E160=""),"",COUNTA($E$21:E160))</f>
        <v>124</v>
      </c>
      <c r="C160" s="53" t="s">
        <v>448</v>
      </c>
      <c r="D160" s="82" t="s">
        <v>702</v>
      </c>
      <c r="E160" s="58">
        <v>1962</v>
      </c>
      <c r="F160" s="60">
        <v>3481.6</v>
      </c>
      <c r="G160" s="60">
        <v>2573.9</v>
      </c>
      <c r="H160" s="60">
        <v>9</v>
      </c>
      <c r="I160" s="60" t="s">
        <v>36</v>
      </c>
      <c r="J160" s="60"/>
      <c r="K160" s="60"/>
      <c r="L160" s="60"/>
      <c r="M160" s="60"/>
      <c r="N160" s="60"/>
      <c r="O160" s="60"/>
      <c r="P160" s="60">
        <f t="shared" si="175"/>
        <v>5845606.4000000004</v>
      </c>
      <c r="Q160" s="60"/>
      <c r="R160" s="60">
        <f t="shared" si="176"/>
        <v>5309440</v>
      </c>
      <c r="S160" s="60"/>
      <c r="T160" s="60"/>
      <c r="U160" s="60"/>
      <c r="V160" s="60"/>
      <c r="W160" s="62">
        <f t="shared" si="174"/>
        <v>11155046.4</v>
      </c>
      <c r="X160" s="60" t="s">
        <v>17</v>
      </c>
      <c r="Y160" s="59">
        <v>0</v>
      </c>
      <c r="Z160" s="59">
        <v>0</v>
      </c>
      <c r="AA160" s="59">
        <v>0</v>
      </c>
      <c r="AB160" s="56">
        <f t="shared" si="158"/>
        <v>11155046.4</v>
      </c>
    </row>
    <row r="161" spans="1:28" s="36" customFormat="1" ht="52.5" customHeight="1" x14ac:dyDescent="0.25">
      <c r="A161" s="36">
        <v>2018</v>
      </c>
      <c r="B161" s="53">
        <f>IF(OR(E161=0,E161=""),"",COUNTA($E$21:E161))</f>
        <v>125</v>
      </c>
      <c r="C161" s="53" t="s">
        <v>449</v>
      </c>
      <c r="D161" s="82" t="s">
        <v>703</v>
      </c>
      <c r="E161" s="58">
        <v>1962</v>
      </c>
      <c r="F161" s="60">
        <v>3454.8</v>
      </c>
      <c r="G161" s="60">
        <v>2541.4</v>
      </c>
      <c r="H161" s="60">
        <v>0</v>
      </c>
      <c r="I161" s="60" t="s">
        <v>33</v>
      </c>
      <c r="J161" s="60"/>
      <c r="K161" s="60"/>
      <c r="L161" s="60"/>
      <c r="M161" s="60"/>
      <c r="N161" s="60"/>
      <c r="O161" s="60"/>
      <c r="P161" s="60">
        <f t="shared" si="175"/>
        <v>5800609.2000000002</v>
      </c>
      <c r="Q161" s="60"/>
      <c r="R161" s="60">
        <f t="shared" si="176"/>
        <v>5268570</v>
      </c>
      <c r="S161" s="60"/>
      <c r="T161" s="60"/>
      <c r="U161" s="60"/>
      <c r="V161" s="60"/>
      <c r="W161" s="62">
        <f t="shared" si="174"/>
        <v>11069179.199999999</v>
      </c>
      <c r="X161" s="60" t="s">
        <v>17</v>
      </c>
      <c r="Y161" s="59">
        <v>0</v>
      </c>
      <c r="Z161" s="59">
        <v>0</v>
      </c>
      <c r="AA161" s="59">
        <v>0</v>
      </c>
      <c r="AB161" s="56">
        <f t="shared" si="158"/>
        <v>11069179.199999999</v>
      </c>
    </row>
    <row r="162" spans="1:28" s="36" customFormat="1" ht="52.5" customHeight="1" x14ac:dyDescent="0.25">
      <c r="A162" s="36">
        <v>2018</v>
      </c>
      <c r="B162" s="53">
        <f>IF(OR(E162=0,E162=""),"",COUNTA($E$21:E162))</f>
        <v>126</v>
      </c>
      <c r="C162" s="53" t="s">
        <v>451</v>
      </c>
      <c r="D162" s="82" t="s">
        <v>704</v>
      </c>
      <c r="E162" s="58">
        <v>1961</v>
      </c>
      <c r="F162" s="60">
        <v>4507</v>
      </c>
      <c r="G162" s="60">
        <v>2535.5</v>
      </c>
      <c r="H162" s="60">
        <v>0</v>
      </c>
      <c r="I162" s="60" t="s">
        <v>36</v>
      </c>
      <c r="J162" s="60"/>
      <c r="K162" s="60"/>
      <c r="L162" s="60"/>
      <c r="M162" s="60"/>
      <c r="N162" s="60"/>
      <c r="O162" s="60"/>
      <c r="P162" s="60">
        <f t="shared" si="175"/>
        <v>7567253</v>
      </c>
      <c r="Q162" s="60"/>
      <c r="R162" s="60">
        <f t="shared" si="176"/>
        <v>6873175</v>
      </c>
      <c r="S162" s="60"/>
      <c r="T162" s="60"/>
      <c r="U162" s="60"/>
      <c r="V162" s="60"/>
      <c r="W162" s="62">
        <f t="shared" si="174"/>
        <v>14440428</v>
      </c>
      <c r="X162" s="60" t="s">
        <v>17</v>
      </c>
      <c r="Y162" s="59">
        <v>0</v>
      </c>
      <c r="Z162" s="59">
        <v>0</v>
      </c>
      <c r="AA162" s="59">
        <v>0</v>
      </c>
      <c r="AB162" s="56">
        <f t="shared" si="158"/>
        <v>14440428</v>
      </c>
    </row>
    <row r="163" spans="1:28" s="36" customFormat="1" ht="52.5" customHeight="1" x14ac:dyDescent="0.25">
      <c r="A163" s="36">
        <v>2018</v>
      </c>
      <c r="B163" s="53">
        <f>IF(OR(E163=0,E163=""),"",COUNTA($E$21:E163))</f>
        <v>127</v>
      </c>
      <c r="C163" s="53" t="s">
        <v>455</v>
      </c>
      <c r="D163" s="82" t="s">
        <v>705</v>
      </c>
      <c r="E163" s="58">
        <v>1963</v>
      </c>
      <c r="F163" s="60">
        <v>1379.2</v>
      </c>
      <c r="G163" s="60">
        <v>1281.5</v>
      </c>
      <c r="H163" s="60">
        <v>0</v>
      </c>
      <c r="I163" s="60" t="s">
        <v>36</v>
      </c>
      <c r="J163" s="60"/>
      <c r="K163" s="60"/>
      <c r="L163" s="60"/>
      <c r="M163" s="60"/>
      <c r="N163" s="60"/>
      <c r="O163" s="60"/>
      <c r="P163" s="60">
        <f t="shared" si="175"/>
        <v>2315676.7999999998</v>
      </c>
      <c r="Q163" s="60"/>
      <c r="R163" s="60">
        <f t="shared" si="176"/>
        <v>2103280</v>
      </c>
      <c r="S163" s="60"/>
      <c r="T163" s="60"/>
      <c r="U163" s="60"/>
      <c r="V163" s="60"/>
      <c r="W163" s="62">
        <f t="shared" si="174"/>
        <v>4418956.8</v>
      </c>
      <c r="X163" s="60" t="s">
        <v>17</v>
      </c>
      <c r="Y163" s="59">
        <v>0</v>
      </c>
      <c r="Z163" s="59">
        <v>0</v>
      </c>
      <c r="AA163" s="59">
        <v>0</v>
      </c>
      <c r="AB163" s="56">
        <f t="shared" si="158"/>
        <v>4418956.8</v>
      </c>
    </row>
    <row r="164" spans="1:28" s="36" customFormat="1" ht="52.5" customHeight="1" x14ac:dyDescent="0.25">
      <c r="A164" s="36">
        <v>2018</v>
      </c>
      <c r="B164" s="53">
        <f>IF(OR(E164=0,E164=""),"",COUNTA($E$21:E164))</f>
        <v>128</v>
      </c>
      <c r="C164" s="53" t="s">
        <v>456</v>
      </c>
      <c r="D164" s="82" t="s">
        <v>706</v>
      </c>
      <c r="E164" s="58">
        <v>1963</v>
      </c>
      <c r="F164" s="60">
        <v>2230.4</v>
      </c>
      <c r="G164" s="60">
        <v>2014.5</v>
      </c>
      <c r="H164" s="60">
        <v>0</v>
      </c>
      <c r="I164" s="60" t="s">
        <v>36</v>
      </c>
      <c r="J164" s="60"/>
      <c r="K164" s="60"/>
      <c r="L164" s="60"/>
      <c r="M164" s="60"/>
      <c r="N164" s="60"/>
      <c r="O164" s="60"/>
      <c r="P164" s="60">
        <f t="shared" si="175"/>
        <v>3744841.6</v>
      </c>
      <c r="Q164" s="60"/>
      <c r="R164" s="60">
        <f t="shared" si="176"/>
        <v>3401360</v>
      </c>
      <c r="S164" s="60"/>
      <c r="T164" s="60"/>
      <c r="U164" s="60"/>
      <c r="V164" s="60"/>
      <c r="W164" s="62">
        <f t="shared" si="174"/>
        <v>7146201.5999999996</v>
      </c>
      <c r="X164" s="60" t="s">
        <v>17</v>
      </c>
      <c r="Y164" s="59">
        <v>0</v>
      </c>
      <c r="Z164" s="59">
        <v>0</v>
      </c>
      <c r="AA164" s="59">
        <v>0</v>
      </c>
      <c r="AB164" s="56">
        <f t="shared" si="158"/>
        <v>7146201.5999999996</v>
      </c>
    </row>
    <row r="165" spans="1:28" s="36" customFormat="1" ht="52.5" customHeight="1" x14ac:dyDescent="0.25">
      <c r="A165" s="36">
        <v>2018</v>
      </c>
      <c r="B165" s="53">
        <f>IF(OR(E165=0,E165=""),"",COUNTA($E$21:E165))</f>
        <v>129</v>
      </c>
      <c r="C165" s="53" t="s">
        <v>247</v>
      </c>
      <c r="D165" s="82" t="s">
        <v>707</v>
      </c>
      <c r="E165" s="58">
        <v>1962</v>
      </c>
      <c r="F165" s="60">
        <v>3382.65</v>
      </c>
      <c r="G165" s="60">
        <v>2477.5500000000002</v>
      </c>
      <c r="H165" s="60">
        <v>55.8</v>
      </c>
      <c r="I165" s="60" t="s">
        <v>33</v>
      </c>
      <c r="J165" s="60"/>
      <c r="K165" s="60"/>
      <c r="L165" s="60"/>
      <c r="M165" s="60"/>
      <c r="N165" s="60"/>
      <c r="O165" s="60"/>
      <c r="P165" s="60">
        <f t="shared" si="175"/>
        <v>5679469.3499999996</v>
      </c>
      <c r="Q165" s="60"/>
      <c r="R165" s="60">
        <f t="shared" si="176"/>
        <v>5158541.25</v>
      </c>
      <c r="S165" s="60"/>
      <c r="T165" s="60"/>
      <c r="U165" s="60"/>
      <c r="V165" s="60"/>
      <c r="W165" s="62">
        <f t="shared" si="174"/>
        <v>10838010.6</v>
      </c>
      <c r="X165" s="60" t="s">
        <v>17</v>
      </c>
      <c r="Y165" s="59">
        <v>0</v>
      </c>
      <c r="Z165" s="59">
        <v>0</v>
      </c>
      <c r="AA165" s="59">
        <v>0</v>
      </c>
      <c r="AB165" s="56">
        <f t="shared" si="158"/>
        <v>10838010.6</v>
      </c>
    </row>
    <row r="166" spans="1:28" s="36" customFormat="1" ht="52.5" customHeight="1" x14ac:dyDescent="0.25">
      <c r="A166" s="36">
        <v>2018</v>
      </c>
      <c r="B166" s="53">
        <f>IF(OR(E166=0,E166=""),"",COUNTA($E$21:E166))</f>
        <v>130</v>
      </c>
      <c r="C166" s="53" t="s">
        <v>331</v>
      </c>
      <c r="D166" s="82" t="s">
        <v>708</v>
      </c>
      <c r="E166" s="58">
        <v>1963</v>
      </c>
      <c r="F166" s="60">
        <v>1593.7</v>
      </c>
      <c r="G166" s="60">
        <v>1266.7</v>
      </c>
      <c r="H166" s="60">
        <v>327</v>
      </c>
      <c r="I166" s="60" t="s">
        <v>36</v>
      </c>
      <c r="J166" s="60"/>
      <c r="K166" s="60"/>
      <c r="L166" s="60"/>
      <c r="M166" s="60"/>
      <c r="N166" s="60"/>
      <c r="O166" s="60"/>
      <c r="P166" s="60">
        <f t="shared" si="175"/>
        <v>2675822.2999999998</v>
      </c>
      <c r="Q166" s="60"/>
      <c r="R166" s="60">
        <f t="shared" si="176"/>
        <v>2430392.5</v>
      </c>
      <c r="S166" s="60"/>
      <c r="T166" s="60"/>
      <c r="U166" s="60"/>
      <c r="V166" s="60"/>
      <c r="W166" s="62">
        <f t="shared" si="174"/>
        <v>5106214.8</v>
      </c>
      <c r="X166" s="60" t="s">
        <v>17</v>
      </c>
      <c r="Y166" s="59">
        <v>0</v>
      </c>
      <c r="Z166" s="59">
        <v>0</v>
      </c>
      <c r="AA166" s="59">
        <v>0</v>
      </c>
      <c r="AB166" s="56">
        <f t="shared" si="158"/>
        <v>5106214.8</v>
      </c>
    </row>
    <row r="167" spans="1:28" s="36" customFormat="1" ht="52.5" customHeight="1" x14ac:dyDescent="0.25">
      <c r="A167" s="36">
        <v>2018</v>
      </c>
      <c r="B167" s="53">
        <f>IF(OR(E167=0,E167=""),"",COUNTA($E$21:E167))</f>
        <v>131</v>
      </c>
      <c r="C167" s="53" t="s">
        <v>332</v>
      </c>
      <c r="D167" s="82" t="s">
        <v>709</v>
      </c>
      <c r="E167" s="58">
        <v>1962</v>
      </c>
      <c r="F167" s="60">
        <v>1707.9</v>
      </c>
      <c r="G167" s="60">
        <v>1266.4000000000001</v>
      </c>
      <c r="H167" s="60">
        <v>441.5</v>
      </c>
      <c r="I167" s="60" t="s">
        <v>36</v>
      </c>
      <c r="J167" s="60"/>
      <c r="K167" s="60"/>
      <c r="L167" s="60"/>
      <c r="M167" s="60"/>
      <c r="N167" s="60"/>
      <c r="O167" s="60"/>
      <c r="P167" s="60">
        <f t="shared" si="175"/>
        <v>2867564.1</v>
      </c>
      <c r="Q167" s="60"/>
      <c r="R167" s="60">
        <f t="shared" si="176"/>
        <v>2604547.5</v>
      </c>
      <c r="S167" s="60"/>
      <c r="T167" s="60"/>
      <c r="U167" s="60"/>
      <c r="V167" s="60"/>
      <c r="W167" s="62">
        <f t="shared" si="174"/>
        <v>5472111.5999999996</v>
      </c>
      <c r="X167" s="60" t="s">
        <v>17</v>
      </c>
      <c r="Y167" s="59">
        <v>0</v>
      </c>
      <c r="Z167" s="59">
        <v>0</v>
      </c>
      <c r="AA167" s="59">
        <v>0</v>
      </c>
      <c r="AB167" s="56">
        <f t="shared" si="158"/>
        <v>5472111.5999999996</v>
      </c>
    </row>
    <row r="168" spans="1:28" s="36" customFormat="1" ht="52.5" customHeight="1" x14ac:dyDescent="0.25">
      <c r="A168" s="36">
        <v>2018</v>
      </c>
      <c r="B168" s="53">
        <f>IF(OR(E168=0,E168=""),"",COUNTA($E$21:E168))</f>
        <v>132</v>
      </c>
      <c r="C168" s="53" t="s">
        <v>340</v>
      </c>
      <c r="D168" s="82" t="s">
        <v>710</v>
      </c>
      <c r="E168" s="58">
        <v>1963</v>
      </c>
      <c r="F168" s="60">
        <v>2479.9</v>
      </c>
      <c r="G168" s="60">
        <v>1974.5</v>
      </c>
      <c r="H168" s="60">
        <v>0</v>
      </c>
      <c r="I168" s="60" t="s">
        <v>36</v>
      </c>
      <c r="J168" s="60"/>
      <c r="K168" s="60"/>
      <c r="L168" s="60"/>
      <c r="M168" s="60"/>
      <c r="N168" s="60"/>
      <c r="O168" s="60"/>
      <c r="P168" s="60">
        <f t="shared" si="175"/>
        <v>4163752.1</v>
      </c>
      <c r="Q168" s="60"/>
      <c r="R168" s="60">
        <f t="shared" si="176"/>
        <v>3781847.5</v>
      </c>
      <c r="S168" s="60"/>
      <c r="T168" s="60"/>
      <c r="U168" s="60"/>
      <c r="V168" s="60"/>
      <c r="W168" s="62">
        <f t="shared" si="174"/>
        <v>7945599.5999999996</v>
      </c>
      <c r="X168" s="60" t="s">
        <v>17</v>
      </c>
      <c r="Y168" s="59">
        <v>0</v>
      </c>
      <c r="Z168" s="59">
        <v>0</v>
      </c>
      <c r="AA168" s="59">
        <v>0</v>
      </c>
      <c r="AB168" s="56">
        <f t="shared" si="158"/>
        <v>7945599.5999999996</v>
      </c>
    </row>
    <row r="169" spans="1:28" s="36" customFormat="1" ht="52.5" customHeight="1" x14ac:dyDescent="0.25">
      <c r="A169" s="36">
        <v>2018</v>
      </c>
      <c r="B169" s="53">
        <f>IF(OR(E169=0,E169=""),"",COUNTA($E$21:E169))</f>
        <v>133</v>
      </c>
      <c r="C169" s="53" t="s">
        <v>344</v>
      </c>
      <c r="D169" s="82" t="s">
        <v>711</v>
      </c>
      <c r="E169" s="58">
        <v>1962</v>
      </c>
      <c r="F169" s="60">
        <v>2154.6999999999998</v>
      </c>
      <c r="G169" s="60">
        <v>2009.6</v>
      </c>
      <c r="H169" s="60">
        <v>0</v>
      </c>
      <c r="I169" s="60" t="s">
        <v>36</v>
      </c>
      <c r="J169" s="60"/>
      <c r="K169" s="60"/>
      <c r="L169" s="60"/>
      <c r="M169" s="60"/>
      <c r="N169" s="60"/>
      <c r="O169" s="60"/>
      <c r="P169" s="60">
        <f t="shared" si="175"/>
        <v>3617741.3</v>
      </c>
      <c r="Q169" s="60"/>
      <c r="R169" s="60">
        <f t="shared" si="176"/>
        <v>3285917.5</v>
      </c>
      <c r="S169" s="60"/>
      <c r="T169" s="60"/>
      <c r="U169" s="60"/>
      <c r="V169" s="60"/>
      <c r="W169" s="62">
        <f t="shared" si="174"/>
        <v>6903658.7999999998</v>
      </c>
      <c r="X169" s="60" t="s">
        <v>17</v>
      </c>
      <c r="Y169" s="59">
        <v>0</v>
      </c>
      <c r="Z169" s="59">
        <v>0</v>
      </c>
      <c r="AA169" s="59">
        <v>0</v>
      </c>
      <c r="AB169" s="56">
        <f t="shared" si="158"/>
        <v>6903658.7999999998</v>
      </c>
    </row>
    <row r="170" spans="1:28" s="36" customFormat="1" ht="52.5" customHeight="1" x14ac:dyDescent="0.25">
      <c r="A170" s="36">
        <v>2018</v>
      </c>
      <c r="B170" s="53">
        <f>IF(OR(E170=0,E170=""),"",COUNTA($E$21:E170))</f>
        <v>134</v>
      </c>
      <c r="C170" s="53" t="s">
        <v>345</v>
      </c>
      <c r="D170" s="82" t="s">
        <v>712</v>
      </c>
      <c r="E170" s="58">
        <v>1962</v>
      </c>
      <c r="F170" s="60">
        <v>2141.5700000000002</v>
      </c>
      <c r="G170" s="60">
        <v>1442.97</v>
      </c>
      <c r="H170" s="60">
        <v>0</v>
      </c>
      <c r="I170" s="60" t="s">
        <v>36</v>
      </c>
      <c r="J170" s="60"/>
      <c r="K170" s="60"/>
      <c r="L170" s="60"/>
      <c r="M170" s="60"/>
      <c r="N170" s="60"/>
      <c r="O170" s="60"/>
      <c r="P170" s="60">
        <f t="shared" si="175"/>
        <v>3595696.03</v>
      </c>
      <c r="Q170" s="60"/>
      <c r="R170" s="60">
        <f t="shared" si="176"/>
        <v>3265894.25</v>
      </c>
      <c r="S170" s="60"/>
      <c r="T170" s="60"/>
      <c r="U170" s="60"/>
      <c r="V170" s="60"/>
      <c r="W170" s="62">
        <f t="shared" si="174"/>
        <v>6861590.2800000003</v>
      </c>
      <c r="X170" s="60" t="s">
        <v>17</v>
      </c>
      <c r="Y170" s="59">
        <v>0</v>
      </c>
      <c r="Z170" s="59">
        <v>0</v>
      </c>
      <c r="AA170" s="59">
        <v>0</v>
      </c>
      <c r="AB170" s="56">
        <f t="shared" si="158"/>
        <v>6861590.2800000003</v>
      </c>
    </row>
    <row r="171" spans="1:28" s="36" customFormat="1" ht="52.5" customHeight="1" x14ac:dyDescent="0.25">
      <c r="A171" s="36">
        <v>2018</v>
      </c>
      <c r="B171" s="53">
        <f>IF(OR(E171=0,E171=""),"",COUNTA($E$21:E171))</f>
        <v>135</v>
      </c>
      <c r="C171" s="53" t="s">
        <v>347</v>
      </c>
      <c r="D171" s="82" t="s">
        <v>713</v>
      </c>
      <c r="E171" s="58">
        <v>1962</v>
      </c>
      <c r="F171" s="60">
        <v>3458.8</v>
      </c>
      <c r="G171" s="60">
        <v>2603.4</v>
      </c>
      <c r="H171" s="60">
        <v>0</v>
      </c>
      <c r="I171" s="60" t="s">
        <v>33</v>
      </c>
      <c r="J171" s="60"/>
      <c r="K171" s="60"/>
      <c r="L171" s="60"/>
      <c r="M171" s="60"/>
      <c r="N171" s="60"/>
      <c r="O171" s="60"/>
      <c r="P171" s="60">
        <f t="shared" si="175"/>
        <v>5807325.2000000002</v>
      </c>
      <c r="Q171" s="60"/>
      <c r="R171" s="60">
        <f t="shared" si="176"/>
        <v>5274670</v>
      </c>
      <c r="S171" s="60"/>
      <c r="T171" s="60"/>
      <c r="U171" s="60"/>
      <c r="V171" s="60"/>
      <c r="W171" s="62">
        <f t="shared" si="174"/>
        <v>11081995.199999999</v>
      </c>
      <c r="X171" s="60" t="s">
        <v>17</v>
      </c>
      <c r="Y171" s="59">
        <v>0</v>
      </c>
      <c r="Z171" s="59">
        <v>0</v>
      </c>
      <c r="AA171" s="59">
        <v>0</v>
      </c>
      <c r="AB171" s="56">
        <f t="shared" si="158"/>
        <v>11081995.199999999</v>
      </c>
    </row>
    <row r="172" spans="1:28" s="36" customFormat="1" ht="52.5" customHeight="1" x14ac:dyDescent="0.25">
      <c r="A172" s="36">
        <v>2018</v>
      </c>
      <c r="B172" s="53">
        <f>IF(OR(E172=0,E172=""),"",COUNTA($E$21:E172))</f>
        <v>136</v>
      </c>
      <c r="C172" s="53" t="s">
        <v>348</v>
      </c>
      <c r="D172" s="82" t="s">
        <v>714</v>
      </c>
      <c r="E172" s="58">
        <v>1962</v>
      </c>
      <c r="F172" s="60">
        <v>3456.3</v>
      </c>
      <c r="G172" s="60">
        <v>2605.6</v>
      </c>
      <c r="H172" s="60">
        <v>0</v>
      </c>
      <c r="I172" s="60" t="s">
        <v>33</v>
      </c>
      <c r="J172" s="60"/>
      <c r="K172" s="60"/>
      <c r="L172" s="60"/>
      <c r="M172" s="60"/>
      <c r="N172" s="60"/>
      <c r="O172" s="60"/>
      <c r="P172" s="60">
        <f t="shared" si="175"/>
        <v>5803127.7000000002</v>
      </c>
      <c r="Q172" s="60"/>
      <c r="R172" s="60">
        <f t="shared" si="176"/>
        <v>5270857.5</v>
      </c>
      <c r="S172" s="60"/>
      <c r="T172" s="60"/>
      <c r="U172" s="60"/>
      <c r="V172" s="60"/>
      <c r="W172" s="62">
        <f t="shared" si="174"/>
        <v>11073985.199999999</v>
      </c>
      <c r="X172" s="60" t="s">
        <v>17</v>
      </c>
      <c r="Y172" s="59">
        <v>0</v>
      </c>
      <c r="Z172" s="59">
        <v>0</v>
      </c>
      <c r="AA172" s="59">
        <v>0</v>
      </c>
      <c r="AB172" s="56">
        <f t="shared" si="158"/>
        <v>11073985.199999999</v>
      </c>
    </row>
    <row r="173" spans="1:28" s="36" customFormat="1" ht="52.5" customHeight="1" x14ac:dyDescent="0.25">
      <c r="A173" s="36">
        <v>2018</v>
      </c>
      <c r="B173" s="53">
        <f>IF(OR(E173=0,E173=""),"",COUNTA($E$21:E173))</f>
        <v>137</v>
      </c>
      <c r="C173" s="53" t="s">
        <v>349</v>
      </c>
      <c r="D173" s="82" t="s">
        <v>715</v>
      </c>
      <c r="E173" s="58">
        <v>1963</v>
      </c>
      <c r="F173" s="60">
        <v>3451.8</v>
      </c>
      <c r="G173" s="60">
        <v>2595.6</v>
      </c>
      <c r="H173" s="60">
        <v>0</v>
      </c>
      <c r="I173" s="60" t="s">
        <v>33</v>
      </c>
      <c r="J173" s="60"/>
      <c r="K173" s="60"/>
      <c r="L173" s="60"/>
      <c r="M173" s="60"/>
      <c r="N173" s="60"/>
      <c r="O173" s="60"/>
      <c r="P173" s="60">
        <f t="shared" si="175"/>
        <v>5795572.2000000002</v>
      </c>
      <c r="Q173" s="60"/>
      <c r="R173" s="60">
        <f t="shared" si="176"/>
        <v>5263995</v>
      </c>
      <c r="S173" s="60"/>
      <c r="T173" s="60"/>
      <c r="U173" s="60"/>
      <c r="V173" s="60"/>
      <c r="W173" s="62">
        <f t="shared" si="174"/>
        <v>11059567.199999999</v>
      </c>
      <c r="X173" s="60" t="s">
        <v>17</v>
      </c>
      <c r="Y173" s="59">
        <v>0</v>
      </c>
      <c r="Z173" s="59">
        <v>0</v>
      </c>
      <c r="AA173" s="59">
        <v>0</v>
      </c>
      <c r="AB173" s="56">
        <f t="shared" si="158"/>
        <v>11059567.199999999</v>
      </c>
    </row>
    <row r="174" spans="1:28" s="36" customFormat="1" ht="52.5" customHeight="1" x14ac:dyDescent="0.25">
      <c r="A174" s="36">
        <v>2018</v>
      </c>
      <c r="B174" s="53">
        <f>IF(OR(E174=0,E174=""),"",COUNTA($E$21:E174))</f>
        <v>138</v>
      </c>
      <c r="C174" s="53" t="s">
        <v>350</v>
      </c>
      <c r="D174" s="82" t="s">
        <v>716</v>
      </c>
      <c r="E174" s="58">
        <v>1962</v>
      </c>
      <c r="F174" s="60">
        <v>3436.74</v>
      </c>
      <c r="G174" s="60">
        <v>2546.54</v>
      </c>
      <c r="H174" s="60">
        <v>30.5</v>
      </c>
      <c r="I174" s="60" t="s">
        <v>33</v>
      </c>
      <c r="J174" s="60"/>
      <c r="K174" s="60"/>
      <c r="L174" s="60"/>
      <c r="M174" s="60"/>
      <c r="N174" s="60"/>
      <c r="O174" s="60"/>
      <c r="P174" s="60">
        <f t="shared" si="175"/>
        <v>5770286.46</v>
      </c>
      <c r="Q174" s="60"/>
      <c r="R174" s="60">
        <f t="shared" si="176"/>
        <v>5241028.5</v>
      </c>
      <c r="S174" s="60"/>
      <c r="T174" s="60"/>
      <c r="U174" s="60"/>
      <c r="V174" s="60"/>
      <c r="W174" s="62">
        <f t="shared" si="174"/>
        <v>11011314.960000001</v>
      </c>
      <c r="X174" s="60" t="s">
        <v>17</v>
      </c>
      <c r="Y174" s="59">
        <v>0</v>
      </c>
      <c r="Z174" s="59">
        <v>0</v>
      </c>
      <c r="AA174" s="59">
        <v>0</v>
      </c>
      <c r="AB174" s="56">
        <f t="shared" si="158"/>
        <v>11011314.960000001</v>
      </c>
    </row>
    <row r="175" spans="1:28" s="36" customFormat="1" ht="52.5" customHeight="1" x14ac:dyDescent="0.25">
      <c r="A175" s="36">
        <v>2018</v>
      </c>
      <c r="B175" s="53">
        <f>IF(OR(E175=0,E175=""),"",COUNTA($E$21:E175))</f>
        <v>139</v>
      </c>
      <c r="C175" s="53" t="s">
        <v>358</v>
      </c>
      <c r="D175" s="82" t="s">
        <v>717</v>
      </c>
      <c r="E175" s="58">
        <v>1962</v>
      </c>
      <c r="F175" s="60">
        <v>1355.4</v>
      </c>
      <c r="G175" s="60">
        <v>1262.7</v>
      </c>
      <c r="H175" s="60">
        <v>0</v>
      </c>
      <c r="I175" s="60" t="s">
        <v>36</v>
      </c>
      <c r="J175" s="60"/>
      <c r="K175" s="60"/>
      <c r="L175" s="60"/>
      <c r="M175" s="60"/>
      <c r="N175" s="60"/>
      <c r="O175" s="60"/>
      <c r="P175" s="60">
        <f t="shared" si="175"/>
        <v>2275716.6</v>
      </c>
      <c r="Q175" s="60"/>
      <c r="R175" s="60">
        <f t="shared" si="176"/>
        <v>2066985</v>
      </c>
      <c r="S175" s="60"/>
      <c r="T175" s="60"/>
      <c r="U175" s="60"/>
      <c r="V175" s="60"/>
      <c r="W175" s="62">
        <f t="shared" si="174"/>
        <v>4342701.5999999996</v>
      </c>
      <c r="X175" s="60" t="s">
        <v>17</v>
      </c>
      <c r="Y175" s="59">
        <v>0</v>
      </c>
      <c r="Z175" s="59">
        <v>0</v>
      </c>
      <c r="AA175" s="59">
        <v>0</v>
      </c>
      <c r="AB175" s="56">
        <f t="shared" si="158"/>
        <v>4342701.5999999996</v>
      </c>
    </row>
    <row r="176" spans="1:28" s="36" customFormat="1" ht="52.5" customHeight="1" x14ac:dyDescent="0.25">
      <c r="A176" s="36">
        <v>2018</v>
      </c>
      <c r="B176" s="53">
        <f>IF(OR(E176=0,E176=""),"",COUNTA($E$21:E176))</f>
        <v>140</v>
      </c>
      <c r="C176" s="53" t="s">
        <v>360</v>
      </c>
      <c r="D176" s="82" t="s">
        <v>718</v>
      </c>
      <c r="E176" s="58">
        <v>1962</v>
      </c>
      <c r="F176" s="60">
        <v>1832</v>
      </c>
      <c r="G176" s="60">
        <v>1272.2</v>
      </c>
      <c r="H176" s="60">
        <v>0</v>
      </c>
      <c r="I176" s="60" t="s">
        <v>36</v>
      </c>
      <c r="J176" s="60"/>
      <c r="K176" s="60"/>
      <c r="L176" s="60"/>
      <c r="M176" s="60"/>
      <c r="N176" s="60"/>
      <c r="O176" s="60"/>
      <c r="P176" s="60">
        <f t="shared" si="175"/>
        <v>3075928</v>
      </c>
      <c r="Q176" s="60"/>
      <c r="R176" s="60">
        <f t="shared" si="176"/>
        <v>2793800</v>
      </c>
      <c r="S176" s="60"/>
      <c r="T176" s="60"/>
      <c r="U176" s="60"/>
      <c r="V176" s="60"/>
      <c r="W176" s="62">
        <f t="shared" si="174"/>
        <v>5869728</v>
      </c>
      <c r="X176" s="60" t="s">
        <v>17</v>
      </c>
      <c r="Y176" s="59">
        <v>0</v>
      </c>
      <c r="Z176" s="59">
        <v>0</v>
      </c>
      <c r="AA176" s="59">
        <v>0</v>
      </c>
      <c r="AB176" s="56">
        <f t="shared" si="158"/>
        <v>5869728</v>
      </c>
    </row>
    <row r="177" spans="1:28" s="36" customFormat="1" ht="52.5" customHeight="1" x14ac:dyDescent="0.25">
      <c r="A177" s="36">
        <v>2018</v>
      </c>
      <c r="B177" s="53">
        <f>IF(OR(E177=0,E177=""),"",COUNTA($E$21:E177))</f>
        <v>141</v>
      </c>
      <c r="C177" s="53" t="s">
        <v>361</v>
      </c>
      <c r="D177" s="82" t="s">
        <v>719</v>
      </c>
      <c r="E177" s="58">
        <v>1962</v>
      </c>
      <c r="F177" s="60">
        <v>2891.6</v>
      </c>
      <c r="G177" s="60">
        <v>2024.9</v>
      </c>
      <c r="H177" s="60">
        <v>0</v>
      </c>
      <c r="I177" s="60" t="s">
        <v>36</v>
      </c>
      <c r="J177" s="60"/>
      <c r="K177" s="60"/>
      <c r="L177" s="60"/>
      <c r="M177" s="60"/>
      <c r="N177" s="60"/>
      <c r="O177" s="60"/>
      <c r="P177" s="60">
        <f t="shared" si="175"/>
        <v>4854996.4000000004</v>
      </c>
      <c r="Q177" s="60"/>
      <c r="R177" s="60">
        <f t="shared" si="176"/>
        <v>4409690</v>
      </c>
      <c r="S177" s="60"/>
      <c r="T177" s="60"/>
      <c r="U177" s="60"/>
      <c r="V177" s="60"/>
      <c r="W177" s="62">
        <f t="shared" si="174"/>
        <v>9264686.4000000004</v>
      </c>
      <c r="X177" s="60" t="s">
        <v>17</v>
      </c>
      <c r="Y177" s="59">
        <v>0</v>
      </c>
      <c r="Z177" s="59">
        <v>0</v>
      </c>
      <c r="AA177" s="59">
        <v>0</v>
      </c>
      <c r="AB177" s="56">
        <f t="shared" si="158"/>
        <v>9264686.4000000004</v>
      </c>
    </row>
    <row r="178" spans="1:28" s="36" customFormat="1" ht="52.5" customHeight="1" x14ac:dyDescent="0.25">
      <c r="A178" s="36">
        <v>2018</v>
      </c>
      <c r="B178" s="53">
        <f>IF(OR(E178=0,E178=""),"",COUNTA($E$21:E178))</f>
        <v>142</v>
      </c>
      <c r="C178" s="53" t="s">
        <v>364</v>
      </c>
      <c r="D178" s="82" t="s">
        <v>720</v>
      </c>
      <c r="E178" s="58">
        <v>1963</v>
      </c>
      <c r="F178" s="60">
        <v>1907.15</v>
      </c>
      <c r="G178" s="60">
        <v>1257.45</v>
      </c>
      <c r="H178" s="60">
        <v>0</v>
      </c>
      <c r="I178" s="60" t="s">
        <v>36</v>
      </c>
      <c r="J178" s="60"/>
      <c r="K178" s="60"/>
      <c r="L178" s="60"/>
      <c r="M178" s="60"/>
      <c r="N178" s="60"/>
      <c r="O178" s="60"/>
      <c r="P178" s="60">
        <f t="shared" si="175"/>
        <v>3202104.85</v>
      </c>
      <c r="Q178" s="60"/>
      <c r="R178" s="60">
        <f t="shared" si="176"/>
        <v>2908403.75</v>
      </c>
      <c r="S178" s="60"/>
      <c r="T178" s="60"/>
      <c r="U178" s="60"/>
      <c r="V178" s="60"/>
      <c r="W178" s="62">
        <f t="shared" si="174"/>
        <v>6110508.5999999996</v>
      </c>
      <c r="X178" s="60" t="s">
        <v>17</v>
      </c>
      <c r="Y178" s="59">
        <v>0</v>
      </c>
      <c r="Z178" s="59">
        <v>0</v>
      </c>
      <c r="AA178" s="59">
        <v>0</v>
      </c>
      <c r="AB178" s="56">
        <f t="shared" si="158"/>
        <v>6110508.5999999996</v>
      </c>
    </row>
    <row r="179" spans="1:28" s="36" customFormat="1" ht="52.5" customHeight="1" x14ac:dyDescent="0.25">
      <c r="A179" s="36">
        <v>2018</v>
      </c>
      <c r="B179" s="53">
        <f>IF(OR(E179=0,E179=""),"",COUNTA($E$21:E179))</f>
        <v>143</v>
      </c>
      <c r="C179" s="53" t="s">
        <v>430</v>
      </c>
      <c r="D179" s="82" t="s">
        <v>721</v>
      </c>
      <c r="E179" s="58">
        <v>1963</v>
      </c>
      <c r="F179" s="60">
        <v>296.10000000000002</v>
      </c>
      <c r="G179" s="60">
        <v>275.89999999999998</v>
      </c>
      <c r="H179" s="60">
        <v>0</v>
      </c>
      <c r="I179" s="60" t="s">
        <v>35</v>
      </c>
      <c r="J179" s="60"/>
      <c r="K179" s="60"/>
      <c r="L179" s="60"/>
      <c r="M179" s="60"/>
      <c r="N179" s="60"/>
      <c r="O179" s="60"/>
      <c r="P179" s="60">
        <f>2013*F179</f>
        <v>596049.30000000005</v>
      </c>
      <c r="Q179" s="60"/>
      <c r="R179" s="60">
        <f>1657*F179</f>
        <v>490637.7</v>
      </c>
      <c r="S179" s="60"/>
      <c r="T179" s="60"/>
      <c r="U179" s="60"/>
      <c r="V179" s="60"/>
      <c r="W179" s="62">
        <f t="shared" si="174"/>
        <v>1086687</v>
      </c>
      <c r="X179" s="60" t="s">
        <v>17</v>
      </c>
      <c r="Y179" s="59">
        <v>0</v>
      </c>
      <c r="Z179" s="59">
        <v>0</v>
      </c>
      <c r="AA179" s="59">
        <v>0</v>
      </c>
      <c r="AB179" s="56">
        <f t="shared" si="158"/>
        <v>1086687</v>
      </c>
    </row>
    <row r="180" spans="1:28" s="36" customFormat="1" ht="52.5" customHeight="1" x14ac:dyDescent="0.25">
      <c r="A180" s="36">
        <v>2018</v>
      </c>
      <c r="B180" s="53">
        <f>IF(OR(E180=0,E180=""),"",COUNTA($E$21:E180))</f>
        <v>144</v>
      </c>
      <c r="C180" s="53" t="s">
        <v>352</v>
      </c>
      <c r="D180" s="82" t="s">
        <v>722</v>
      </c>
      <c r="E180" s="58">
        <v>1963</v>
      </c>
      <c r="F180" s="60">
        <v>3436.1</v>
      </c>
      <c r="G180" s="60">
        <v>2585</v>
      </c>
      <c r="H180" s="60">
        <v>0</v>
      </c>
      <c r="I180" s="60" t="s">
        <v>33</v>
      </c>
      <c r="J180" s="60"/>
      <c r="K180" s="60"/>
      <c r="L180" s="60"/>
      <c r="M180" s="60"/>
      <c r="N180" s="60"/>
      <c r="O180" s="60"/>
      <c r="P180" s="60">
        <f>1679*F180</f>
        <v>5769211.9000000004</v>
      </c>
      <c r="Q180" s="60"/>
      <c r="R180" s="60">
        <f>1525*F180</f>
        <v>5240052.5</v>
      </c>
      <c r="S180" s="60"/>
      <c r="T180" s="60"/>
      <c r="U180" s="60"/>
      <c r="V180" s="60"/>
      <c r="W180" s="62">
        <f t="shared" si="174"/>
        <v>11009264.4</v>
      </c>
      <c r="X180" s="60" t="s">
        <v>17</v>
      </c>
      <c r="Y180" s="59">
        <v>0</v>
      </c>
      <c r="Z180" s="59">
        <v>0</v>
      </c>
      <c r="AA180" s="59">
        <v>0</v>
      </c>
      <c r="AB180" s="56">
        <f t="shared" si="158"/>
        <v>11009264.4</v>
      </c>
    </row>
    <row r="181" spans="1:28" s="36" customFormat="1" ht="52.5" customHeight="1" x14ac:dyDescent="0.25">
      <c r="A181" s="36">
        <v>2018</v>
      </c>
      <c r="B181" s="53">
        <f>IF(OR(E181=0,E181=""),"",COUNTA($E$21:E181))</f>
        <v>145</v>
      </c>
      <c r="C181" s="53" t="s">
        <v>335</v>
      </c>
      <c r="D181" s="82" t="s">
        <v>723</v>
      </c>
      <c r="E181" s="58">
        <v>1953</v>
      </c>
      <c r="F181" s="60">
        <v>627.9</v>
      </c>
      <c r="G181" s="60">
        <v>627.9</v>
      </c>
      <c r="H181" s="60">
        <v>0</v>
      </c>
      <c r="I181" s="60" t="s">
        <v>35</v>
      </c>
      <c r="J181" s="60">
        <f>431*F181</f>
        <v>270624.90000000002</v>
      </c>
      <c r="K181" s="60">
        <f>500*F181</f>
        <v>313950</v>
      </c>
      <c r="L181" s="60"/>
      <c r="M181" s="60"/>
      <c r="N181" s="60"/>
      <c r="O181" s="60"/>
      <c r="P181" s="60">
        <f>2013*F181</f>
        <v>1263962.7</v>
      </c>
      <c r="Q181" s="60"/>
      <c r="R181" s="60">
        <f>1657*F181</f>
        <v>1040430.3</v>
      </c>
      <c r="S181" s="60"/>
      <c r="T181" s="60"/>
      <c r="U181" s="60">
        <f>50*F181</f>
        <v>31395</v>
      </c>
      <c r="V181" s="60">
        <f>(J181+K181+L181+M181+N181+O181+P181+Q181+R181+S181+T181)*0.0214</f>
        <v>61823.91</v>
      </c>
      <c r="W181" s="62">
        <f t="shared" si="174"/>
        <v>2982186.81</v>
      </c>
      <c r="X181" s="60" t="s">
        <v>17</v>
      </c>
      <c r="Y181" s="59">
        <v>0</v>
      </c>
      <c r="Z181" s="59">
        <v>0</v>
      </c>
      <c r="AA181" s="59">
        <v>0</v>
      </c>
      <c r="AB181" s="56">
        <f t="shared" ref="AB181:AB238" si="177">W181-(Y181+Z181+AA181)</f>
        <v>2982186.81</v>
      </c>
    </row>
    <row r="182" spans="1:28" s="36" customFormat="1" ht="52.5" customHeight="1" x14ac:dyDescent="0.25">
      <c r="A182" s="36">
        <v>2018</v>
      </c>
      <c r="B182" s="53">
        <f>IF(OR(E182=0,E182=""),"",COUNTA($E$21:E182))</f>
        <v>146</v>
      </c>
      <c r="C182" s="53" t="s">
        <v>423</v>
      </c>
      <c r="D182" s="82" t="s">
        <v>724</v>
      </c>
      <c r="E182" s="58">
        <v>1917</v>
      </c>
      <c r="F182" s="60">
        <v>575.1</v>
      </c>
      <c r="G182" s="60">
        <v>484.4</v>
      </c>
      <c r="H182" s="60">
        <v>0</v>
      </c>
      <c r="I182" s="60" t="s">
        <v>29</v>
      </c>
      <c r="J182" s="60"/>
      <c r="K182" s="60">
        <f>800*F182</f>
        <v>460080</v>
      </c>
      <c r="L182" s="60"/>
      <c r="M182" s="60">
        <f>320*F182</f>
        <v>184032</v>
      </c>
      <c r="N182" s="60">
        <f>190*F182</f>
        <v>109269</v>
      </c>
      <c r="O182" s="60"/>
      <c r="P182" s="60">
        <f>3100*F182</f>
        <v>1782810</v>
      </c>
      <c r="Q182" s="60"/>
      <c r="R182" s="60"/>
      <c r="S182" s="60"/>
      <c r="T182" s="60"/>
      <c r="U182" s="60">
        <f>878*F182</f>
        <v>504937.8</v>
      </c>
      <c r="V182" s="60"/>
      <c r="W182" s="62">
        <f t="shared" si="174"/>
        <v>3041128.8</v>
      </c>
      <c r="X182" s="60" t="s">
        <v>17</v>
      </c>
      <c r="Y182" s="59">
        <v>0</v>
      </c>
      <c r="Z182" s="59">
        <v>0</v>
      </c>
      <c r="AA182" s="59">
        <v>0</v>
      </c>
      <c r="AB182" s="56">
        <f t="shared" si="177"/>
        <v>3041128.8</v>
      </c>
    </row>
    <row r="183" spans="1:28" s="36" customFormat="1" ht="52.5" customHeight="1" x14ac:dyDescent="0.25">
      <c r="A183" s="36">
        <v>2018</v>
      </c>
      <c r="B183" s="53">
        <f>IF(OR(E183=0,E183=""),"",COUNTA($E$21:E183))</f>
        <v>147</v>
      </c>
      <c r="C183" s="53" t="s">
        <v>241</v>
      </c>
      <c r="D183" s="82" t="s">
        <v>725</v>
      </c>
      <c r="E183" s="58">
        <v>1960</v>
      </c>
      <c r="F183" s="60">
        <v>349</v>
      </c>
      <c r="G183" s="60">
        <v>312.89999999999998</v>
      </c>
      <c r="H183" s="60">
        <v>0</v>
      </c>
      <c r="I183" s="60" t="s">
        <v>35</v>
      </c>
      <c r="J183" s="60">
        <f t="shared" ref="J183:J188" si="178">431*F183</f>
        <v>150419</v>
      </c>
      <c r="K183" s="60"/>
      <c r="L183" s="60"/>
      <c r="M183" s="60"/>
      <c r="N183" s="60">
        <f t="shared" ref="N183:N186" si="179">134*F183</f>
        <v>46766</v>
      </c>
      <c r="O183" s="60"/>
      <c r="P183" s="60">
        <f t="shared" ref="P183:P188" si="180">2013*F183</f>
        <v>702537</v>
      </c>
      <c r="Q183" s="60"/>
      <c r="R183" s="60">
        <f t="shared" ref="R183:R188" si="181">1657*F183</f>
        <v>578293</v>
      </c>
      <c r="S183" s="60">
        <f t="shared" ref="S183:S188" si="182">134*F183</f>
        <v>46766</v>
      </c>
      <c r="T183" s="60"/>
      <c r="U183" s="60">
        <f t="shared" ref="U183:U189" si="183">50*F183</f>
        <v>17450</v>
      </c>
      <c r="V183" s="60">
        <f t="shared" ref="V183:V204" si="184">(J183+K183+L183+M183+N183+O183+P183+Q183+R183+S183+T183)*0.0214</f>
        <v>32630.31</v>
      </c>
      <c r="W183" s="62">
        <f t="shared" si="174"/>
        <v>1574861.31</v>
      </c>
      <c r="X183" s="60" t="s">
        <v>17</v>
      </c>
      <c r="Y183" s="59">
        <v>0</v>
      </c>
      <c r="Z183" s="59">
        <v>0</v>
      </c>
      <c r="AA183" s="59">
        <v>0</v>
      </c>
      <c r="AB183" s="56">
        <f t="shared" si="177"/>
        <v>1574861.31</v>
      </c>
    </row>
    <row r="184" spans="1:28" s="36" customFormat="1" ht="52.5" customHeight="1" x14ac:dyDescent="0.25">
      <c r="A184" s="36">
        <v>2018</v>
      </c>
      <c r="B184" s="53">
        <f>IF(OR(E184=0,E184=""),"",COUNTA($E$21:E184))</f>
        <v>148</v>
      </c>
      <c r="C184" s="53" t="s">
        <v>190</v>
      </c>
      <c r="D184" s="82" t="s">
        <v>726</v>
      </c>
      <c r="E184" s="58">
        <v>1960</v>
      </c>
      <c r="F184" s="60">
        <v>1001.5</v>
      </c>
      <c r="G184" s="60">
        <v>557.20000000000005</v>
      </c>
      <c r="H184" s="60">
        <v>0</v>
      </c>
      <c r="I184" s="60" t="s">
        <v>35</v>
      </c>
      <c r="J184" s="60">
        <f t="shared" si="178"/>
        <v>431646.5</v>
      </c>
      <c r="K184" s="60">
        <f t="shared" ref="K184" si="185">500*F184</f>
        <v>500750</v>
      </c>
      <c r="L184" s="60"/>
      <c r="M184" s="60">
        <f t="shared" ref="M184:M186" si="186">223*F184</f>
        <v>223334.5</v>
      </c>
      <c r="N184" s="60">
        <f t="shared" si="179"/>
        <v>134201</v>
      </c>
      <c r="O184" s="60"/>
      <c r="P184" s="60">
        <f t="shared" si="180"/>
        <v>2016019.5</v>
      </c>
      <c r="Q184" s="60"/>
      <c r="R184" s="60">
        <f t="shared" si="181"/>
        <v>1659485.5</v>
      </c>
      <c r="S184" s="60">
        <f t="shared" si="182"/>
        <v>134201</v>
      </c>
      <c r="T184" s="60"/>
      <c r="U184" s="60">
        <f t="shared" si="183"/>
        <v>50075</v>
      </c>
      <c r="V184" s="60">
        <f t="shared" si="184"/>
        <v>109132.25</v>
      </c>
      <c r="W184" s="62">
        <f t="shared" si="174"/>
        <v>5258845.25</v>
      </c>
      <c r="X184" s="60" t="s">
        <v>17</v>
      </c>
      <c r="Y184" s="59">
        <v>0</v>
      </c>
      <c r="Z184" s="59">
        <v>0</v>
      </c>
      <c r="AA184" s="59">
        <v>0</v>
      </c>
      <c r="AB184" s="56">
        <f t="shared" si="177"/>
        <v>5258845.25</v>
      </c>
    </row>
    <row r="185" spans="1:28" s="36" customFormat="1" ht="52.5" customHeight="1" x14ac:dyDescent="0.25">
      <c r="A185" s="36">
        <v>2018</v>
      </c>
      <c r="B185" s="53">
        <f>IF(OR(E185=0,E185=""),"",COUNTA($E$21:E185))</f>
        <v>149</v>
      </c>
      <c r="C185" s="53" t="s">
        <v>334</v>
      </c>
      <c r="D185" s="82" t="s">
        <v>727</v>
      </c>
      <c r="E185" s="58">
        <v>1961</v>
      </c>
      <c r="F185" s="60">
        <v>1110.2</v>
      </c>
      <c r="G185" s="60">
        <v>630.4</v>
      </c>
      <c r="H185" s="60">
        <v>0</v>
      </c>
      <c r="I185" s="60" t="s">
        <v>35</v>
      </c>
      <c r="J185" s="60">
        <f t="shared" si="178"/>
        <v>478496.2</v>
      </c>
      <c r="K185" s="60"/>
      <c r="L185" s="60"/>
      <c r="M185" s="60">
        <f t="shared" si="186"/>
        <v>247574.6</v>
      </c>
      <c r="N185" s="60">
        <f t="shared" si="179"/>
        <v>148766.79999999999</v>
      </c>
      <c r="O185" s="60"/>
      <c r="P185" s="60">
        <f t="shared" si="180"/>
        <v>2234832.6</v>
      </c>
      <c r="Q185" s="60"/>
      <c r="R185" s="60">
        <f t="shared" si="181"/>
        <v>1839601.4</v>
      </c>
      <c r="S185" s="60">
        <f t="shared" si="182"/>
        <v>148766.79999999999</v>
      </c>
      <c r="T185" s="60"/>
      <c r="U185" s="60">
        <f t="shared" si="183"/>
        <v>55510</v>
      </c>
      <c r="V185" s="60">
        <f t="shared" si="184"/>
        <v>109098.02</v>
      </c>
      <c r="W185" s="62">
        <f t="shared" si="174"/>
        <v>5262646.42</v>
      </c>
      <c r="X185" s="60" t="s">
        <v>17</v>
      </c>
      <c r="Y185" s="59">
        <v>0</v>
      </c>
      <c r="Z185" s="59">
        <v>0</v>
      </c>
      <c r="AA185" s="59">
        <v>0</v>
      </c>
      <c r="AB185" s="56">
        <f t="shared" si="177"/>
        <v>5262646.42</v>
      </c>
    </row>
    <row r="186" spans="1:28" s="36" customFormat="1" ht="52.5" customHeight="1" x14ac:dyDescent="0.25">
      <c r="A186" s="36">
        <v>2018</v>
      </c>
      <c r="B186" s="53">
        <f>IF(OR(E186=0,E186=""),"",COUNTA($E$21:E186))</f>
        <v>150</v>
      </c>
      <c r="C186" s="53" t="s">
        <v>321</v>
      </c>
      <c r="D186" s="82" t="s">
        <v>728</v>
      </c>
      <c r="E186" s="58">
        <v>1959</v>
      </c>
      <c r="F186" s="60">
        <v>638.9</v>
      </c>
      <c r="G186" s="60">
        <v>263.39999999999998</v>
      </c>
      <c r="H186" s="60">
        <v>0</v>
      </c>
      <c r="I186" s="60" t="s">
        <v>35</v>
      </c>
      <c r="J186" s="60">
        <f t="shared" si="178"/>
        <v>275365.90000000002</v>
      </c>
      <c r="K186" s="60"/>
      <c r="L186" s="60"/>
      <c r="M186" s="60">
        <f t="shared" si="186"/>
        <v>142474.70000000001</v>
      </c>
      <c r="N186" s="60">
        <f t="shared" si="179"/>
        <v>85612.6</v>
      </c>
      <c r="O186" s="60"/>
      <c r="P186" s="60">
        <f t="shared" si="180"/>
        <v>1286105.7</v>
      </c>
      <c r="Q186" s="60">
        <f t="shared" ref="Q186" si="187">191*F186</f>
        <v>122029.9</v>
      </c>
      <c r="R186" s="60">
        <f t="shared" si="181"/>
        <v>1058657.3</v>
      </c>
      <c r="S186" s="60">
        <f t="shared" si="182"/>
        <v>85612.6</v>
      </c>
      <c r="T186" s="60"/>
      <c r="U186" s="60">
        <f t="shared" si="183"/>
        <v>31945</v>
      </c>
      <c r="V186" s="60">
        <f t="shared" si="184"/>
        <v>65395.38</v>
      </c>
      <c r="W186" s="62">
        <f t="shared" ref="W186:W213" si="188">V186+U186+T186+S186+R186+Q186+P186+O186+N186+M186+L186+K186+J186</f>
        <v>3153199.08</v>
      </c>
      <c r="X186" s="60" t="s">
        <v>17</v>
      </c>
      <c r="Y186" s="59">
        <v>0</v>
      </c>
      <c r="Z186" s="59">
        <v>0</v>
      </c>
      <c r="AA186" s="59">
        <v>0</v>
      </c>
      <c r="AB186" s="56">
        <f t="shared" si="177"/>
        <v>3153199.08</v>
      </c>
    </row>
    <row r="187" spans="1:28" s="36" customFormat="1" ht="52.5" customHeight="1" x14ac:dyDescent="0.25">
      <c r="A187" s="36">
        <v>2018</v>
      </c>
      <c r="B187" s="53">
        <f>IF(OR(E187=0,E187=""),"",COUNTA($E$21:E187))</f>
        <v>151</v>
      </c>
      <c r="C187" s="53" t="s">
        <v>401</v>
      </c>
      <c r="D187" s="82" t="s">
        <v>729</v>
      </c>
      <c r="E187" s="58">
        <v>1958</v>
      </c>
      <c r="F187" s="60">
        <v>430.1</v>
      </c>
      <c r="G187" s="60">
        <v>222.6</v>
      </c>
      <c r="H187" s="60">
        <v>0</v>
      </c>
      <c r="I187" s="60" t="s">
        <v>35</v>
      </c>
      <c r="J187" s="60">
        <f t="shared" si="178"/>
        <v>185373.1</v>
      </c>
      <c r="K187" s="60"/>
      <c r="L187" s="60"/>
      <c r="M187" s="60"/>
      <c r="N187" s="60"/>
      <c r="O187" s="60"/>
      <c r="P187" s="60">
        <f t="shared" si="180"/>
        <v>865791.3</v>
      </c>
      <c r="Q187" s="60"/>
      <c r="R187" s="60">
        <f t="shared" si="181"/>
        <v>712675.7</v>
      </c>
      <c r="S187" s="60">
        <f t="shared" si="182"/>
        <v>57633.4</v>
      </c>
      <c r="T187" s="60"/>
      <c r="U187" s="60">
        <f t="shared" si="183"/>
        <v>21505</v>
      </c>
      <c r="V187" s="60">
        <f t="shared" si="184"/>
        <v>38979.53</v>
      </c>
      <c r="W187" s="62">
        <f t="shared" si="188"/>
        <v>1881958.03</v>
      </c>
      <c r="X187" s="60" t="s">
        <v>17</v>
      </c>
      <c r="Y187" s="59">
        <v>0</v>
      </c>
      <c r="Z187" s="59">
        <v>0</v>
      </c>
      <c r="AA187" s="59">
        <v>0</v>
      </c>
      <c r="AB187" s="56">
        <f t="shared" si="177"/>
        <v>1881958.03</v>
      </c>
    </row>
    <row r="188" spans="1:28" s="36" customFormat="1" ht="52.5" customHeight="1" x14ac:dyDescent="0.25">
      <c r="B188" s="53">
        <f>IF(OR(E188=0,E188=""),"",COUNTA($E$21:E188))</f>
        <v>152</v>
      </c>
      <c r="C188" s="53" t="s">
        <v>400</v>
      </c>
      <c r="D188" s="82" t="s">
        <v>730</v>
      </c>
      <c r="E188" s="58">
        <v>1959</v>
      </c>
      <c r="F188" s="60">
        <v>1228.9000000000001</v>
      </c>
      <c r="G188" s="60">
        <v>1082.7</v>
      </c>
      <c r="H188" s="60">
        <v>0</v>
      </c>
      <c r="I188" s="60" t="s">
        <v>34</v>
      </c>
      <c r="J188" s="60">
        <f t="shared" si="178"/>
        <v>529655.9</v>
      </c>
      <c r="K188" s="60">
        <f>500*F188</f>
        <v>614450</v>
      </c>
      <c r="L188" s="60"/>
      <c r="M188" s="60">
        <f>223*F188</f>
        <v>274044.7</v>
      </c>
      <c r="N188" s="60">
        <f>134*F188</f>
        <v>164672.6</v>
      </c>
      <c r="O188" s="60"/>
      <c r="P188" s="60">
        <f t="shared" si="180"/>
        <v>2473775.7000000002</v>
      </c>
      <c r="Q188" s="60">
        <f>191*F188</f>
        <v>234719.9</v>
      </c>
      <c r="R188" s="60">
        <f t="shared" si="181"/>
        <v>2036287.3</v>
      </c>
      <c r="S188" s="60">
        <f t="shared" si="182"/>
        <v>164672.6</v>
      </c>
      <c r="T188" s="60"/>
      <c r="U188" s="60">
        <f t="shared" si="183"/>
        <v>61445</v>
      </c>
      <c r="V188" s="60">
        <f t="shared" si="184"/>
        <v>138934.76</v>
      </c>
      <c r="W188" s="62">
        <f t="shared" si="188"/>
        <v>6692658.46</v>
      </c>
      <c r="X188" s="60" t="s">
        <v>17</v>
      </c>
      <c r="Y188" s="59">
        <v>0</v>
      </c>
      <c r="Z188" s="59">
        <v>0</v>
      </c>
      <c r="AA188" s="59">
        <v>0</v>
      </c>
      <c r="AB188" s="56">
        <f t="shared" si="177"/>
        <v>6692658.46</v>
      </c>
    </row>
    <row r="189" spans="1:28" s="36" customFormat="1" ht="52.5" customHeight="1" x14ac:dyDescent="0.25">
      <c r="B189" s="53">
        <f>IF(OR(E189=0,E189=""),"",COUNTA($E$21:E189))</f>
        <v>153</v>
      </c>
      <c r="C189" s="53" t="s">
        <v>322</v>
      </c>
      <c r="D189" s="82" t="s">
        <v>731</v>
      </c>
      <c r="E189" s="58">
        <v>1960</v>
      </c>
      <c r="F189" s="60">
        <v>1401</v>
      </c>
      <c r="G189" s="60">
        <v>1279.2</v>
      </c>
      <c r="H189" s="60">
        <v>0</v>
      </c>
      <c r="I189" s="59" t="s">
        <v>36</v>
      </c>
      <c r="J189" s="60">
        <f t="shared" ref="J189" si="189">391*F189</f>
        <v>547791</v>
      </c>
      <c r="K189" s="60">
        <f t="shared" ref="K189" si="190">815*F189</f>
        <v>1141815</v>
      </c>
      <c r="L189" s="60"/>
      <c r="M189" s="60">
        <f t="shared" ref="M189" si="191">326*F189</f>
        <v>456726</v>
      </c>
      <c r="N189" s="60">
        <f t="shared" ref="N189" si="192">194*F189</f>
        <v>271794</v>
      </c>
      <c r="O189" s="60"/>
      <c r="P189" s="60">
        <f t="shared" ref="P189" si="193">1679*F189</f>
        <v>2352279</v>
      </c>
      <c r="Q189" s="60">
        <f t="shared" ref="Q189" si="194">133*F189</f>
        <v>186333</v>
      </c>
      <c r="R189" s="60">
        <f t="shared" ref="R189" si="195">1525*F189</f>
        <v>2136525</v>
      </c>
      <c r="S189" s="60">
        <f t="shared" ref="S189" si="196">171*F189</f>
        <v>239571</v>
      </c>
      <c r="T189" s="60"/>
      <c r="U189" s="60">
        <f t="shared" si="183"/>
        <v>70050</v>
      </c>
      <c r="V189" s="61">
        <f t="shared" si="184"/>
        <v>156922.65</v>
      </c>
      <c r="W189" s="62">
        <f t="shared" si="188"/>
        <v>7559806.6500000004</v>
      </c>
      <c r="X189" s="60" t="s">
        <v>17</v>
      </c>
      <c r="Y189" s="59">
        <v>0</v>
      </c>
      <c r="Z189" s="59">
        <v>0</v>
      </c>
      <c r="AA189" s="59">
        <v>0</v>
      </c>
      <c r="AB189" s="56">
        <f t="shared" si="177"/>
        <v>7559806.6500000004</v>
      </c>
    </row>
    <row r="190" spans="1:28" s="36" customFormat="1" ht="52.5" customHeight="1" x14ac:dyDescent="0.25">
      <c r="B190" s="53">
        <f>IF(OR(E190=0,E190=""),"",COUNTA($E$21:E190))</f>
        <v>154</v>
      </c>
      <c r="C190" s="53" t="s">
        <v>193</v>
      </c>
      <c r="D190" s="82" t="s">
        <v>732</v>
      </c>
      <c r="E190" s="58">
        <v>1960</v>
      </c>
      <c r="F190" s="60">
        <v>472.46</v>
      </c>
      <c r="G190" s="60">
        <v>417.84</v>
      </c>
      <c r="H190" s="60">
        <v>0</v>
      </c>
      <c r="I190" s="59" t="s">
        <v>35</v>
      </c>
      <c r="J190" s="60">
        <f t="shared" ref="J190:J191" si="197">431*F190</f>
        <v>203630.26</v>
      </c>
      <c r="K190" s="60"/>
      <c r="L190" s="60"/>
      <c r="M190" s="60">
        <f t="shared" ref="M190:M191" si="198">223*F190</f>
        <v>105358.58</v>
      </c>
      <c r="N190" s="60">
        <f t="shared" ref="N190:N191" si="199">134*F190</f>
        <v>63309.64</v>
      </c>
      <c r="O190" s="60"/>
      <c r="P190" s="60">
        <f t="shared" ref="P190:P191" si="200">2013*F190</f>
        <v>951061.98</v>
      </c>
      <c r="Q190" s="60"/>
      <c r="R190" s="60">
        <f t="shared" ref="R190:R191" si="201">1657*F190</f>
        <v>782866.22</v>
      </c>
      <c r="S190" s="60">
        <f t="shared" ref="S190:S191" si="202">134*F190</f>
        <v>63309.64</v>
      </c>
      <c r="T190" s="60"/>
      <c r="U190" s="60">
        <f t="shared" ref="U190:U194" si="203">50*F190</f>
        <v>23623</v>
      </c>
      <c r="V190" s="60">
        <f t="shared" si="184"/>
        <v>46428.08</v>
      </c>
      <c r="W190" s="62">
        <f t="shared" si="188"/>
        <v>2239587.4</v>
      </c>
      <c r="X190" s="60" t="s">
        <v>17</v>
      </c>
      <c r="Y190" s="59">
        <v>0</v>
      </c>
      <c r="Z190" s="59">
        <v>0</v>
      </c>
      <c r="AA190" s="59">
        <v>0</v>
      </c>
      <c r="AB190" s="56">
        <f t="shared" si="177"/>
        <v>2239587.4</v>
      </c>
    </row>
    <row r="191" spans="1:28" s="36" customFormat="1" ht="52.5" customHeight="1" x14ac:dyDescent="0.25">
      <c r="B191" s="53">
        <f>IF(OR(E191=0,E191=""),"",COUNTA($E$21:E191))</f>
        <v>155</v>
      </c>
      <c r="C191" s="53" t="s">
        <v>431</v>
      </c>
      <c r="D191" s="82" t="s">
        <v>733</v>
      </c>
      <c r="E191" s="58">
        <v>1960</v>
      </c>
      <c r="F191" s="60">
        <v>461.8</v>
      </c>
      <c r="G191" s="60">
        <v>436.1</v>
      </c>
      <c r="H191" s="60">
        <v>0</v>
      </c>
      <c r="I191" s="59" t="s">
        <v>35</v>
      </c>
      <c r="J191" s="60">
        <f t="shared" si="197"/>
        <v>199035.8</v>
      </c>
      <c r="K191" s="60"/>
      <c r="L191" s="60"/>
      <c r="M191" s="60">
        <f t="shared" si="198"/>
        <v>102981.4</v>
      </c>
      <c r="N191" s="60">
        <f t="shared" si="199"/>
        <v>61881.2</v>
      </c>
      <c r="O191" s="60"/>
      <c r="P191" s="60">
        <f t="shared" si="200"/>
        <v>929603.4</v>
      </c>
      <c r="Q191" s="60"/>
      <c r="R191" s="60">
        <f t="shared" si="201"/>
        <v>765202.6</v>
      </c>
      <c r="S191" s="60">
        <f t="shared" si="202"/>
        <v>61881.2</v>
      </c>
      <c r="T191" s="60"/>
      <c r="U191" s="60">
        <f t="shared" si="203"/>
        <v>23090</v>
      </c>
      <c r="V191" s="60">
        <f t="shared" si="184"/>
        <v>45380.53</v>
      </c>
      <c r="W191" s="62">
        <f t="shared" si="188"/>
        <v>2189056.13</v>
      </c>
      <c r="X191" s="60" t="s">
        <v>17</v>
      </c>
      <c r="Y191" s="59">
        <v>0</v>
      </c>
      <c r="Z191" s="59">
        <v>0</v>
      </c>
      <c r="AA191" s="59">
        <v>0</v>
      </c>
      <c r="AB191" s="56">
        <f t="shared" si="177"/>
        <v>2189056.13</v>
      </c>
    </row>
    <row r="192" spans="1:28" s="36" customFormat="1" ht="52.5" customHeight="1" x14ac:dyDescent="0.25">
      <c r="B192" s="53">
        <f>IF(OR(E192=0,E192=""),"",COUNTA($E$21:E192))</f>
        <v>156</v>
      </c>
      <c r="C192" s="53" t="s">
        <v>286</v>
      </c>
      <c r="D192" s="82" t="s">
        <v>734</v>
      </c>
      <c r="E192" s="58">
        <v>1960</v>
      </c>
      <c r="F192" s="60">
        <v>1720.4</v>
      </c>
      <c r="G192" s="60">
        <v>1251.3900000000001</v>
      </c>
      <c r="H192" s="60">
        <v>0</v>
      </c>
      <c r="I192" s="59" t="s">
        <v>36</v>
      </c>
      <c r="J192" s="60">
        <f t="shared" ref="J192" si="204">391*F192</f>
        <v>672676.4</v>
      </c>
      <c r="K192" s="60">
        <f t="shared" ref="K192:K193" si="205">815*F192</f>
        <v>1402126</v>
      </c>
      <c r="L192" s="60"/>
      <c r="M192" s="60">
        <f t="shared" ref="M192:M194" si="206">326*F192</f>
        <v>560850.4</v>
      </c>
      <c r="N192" s="60">
        <f t="shared" ref="N192:N194" si="207">194*F192</f>
        <v>333757.59999999998</v>
      </c>
      <c r="O192" s="60"/>
      <c r="P192" s="60">
        <f t="shared" ref="P192:P194" si="208">1679*F192</f>
        <v>2888551.6</v>
      </c>
      <c r="Q192" s="60">
        <f t="shared" ref="Q192:Q193" si="209">133*F192</f>
        <v>228813.2</v>
      </c>
      <c r="R192" s="60">
        <f t="shared" ref="R192:R193" si="210">1525*F192</f>
        <v>2623610</v>
      </c>
      <c r="S192" s="60">
        <f t="shared" ref="S192:S193" si="211">171*F192</f>
        <v>294188.40000000002</v>
      </c>
      <c r="T192" s="60"/>
      <c r="U192" s="60">
        <f t="shared" si="203"/>
        <v>86020</v>
      </c>
      <c r="V192" s="61">
        <f t="shared" si="184"/>
        <v>192697.88</v>
      </c>
      <c r="W192" s="62">
        <f t="shared" si="188"/>
        <v>9283291.4800000004</v>
      </c>
      <c r="X192" s="60" t="s">
        <v>17</v>
      </c>
      <c r="Y192" s="59">
        <v>0</v>
      </c>
      <c r="Z192" s="59">
        <v>0</v>
      </c>
      <c r="AA192" s="59">
        <v>0</v>
      </c>
      <c r="AB192" s="56">
        <f t="shared" si="177"/>
        <v>9283291.4800000004</v>
      </c>
    </row>
    <row r="193" spans="1:39" s="36" customFormat="1" ht="52.5" customHeight="1" x14ac:dyDescent="0.25">
      <c r="B193" s="53">
        <f>IF(OR(E193=0,E193=""),"",COUNTA($E$21:E193))</f>
        <v>157</v>
      </c>
      <c r="C193" s="53" t="s">
        <v>385</v>
      </c>
      <c r="D193" s="82" t="s">
        <v>735</v>
      </c>
      <c r="E193" s="58">
        <v>1960</v>
      </c>
      <c r="F193" s="60">
        <v>2887.9</v>
      </c>
      <c r="G193" s="60">
        <v>1468.81</v>
      </c>
      <c r="H193" s="60">
        <v>393.2</v>
      </c>
      <c r="I193" s="59" t="s">
        <v>36</v>
      </c>
      <c r="J193" s="60">
        <v>593785.31000000006</v>
      </c>
      <c r="K193" s="60">
        <f t="shared" si="205"/>
        <v>2353638.5</v>
      </c>
      <c r="L193" s="60"/>
      <c r="M193" s="60">
        <f t="shared" si="206"/>
        <v>941455.4</v>
      </c>
      <c r="N193" s="60">
        <f t="shared" si="207"/>
        <v>560252.6</v>
      </c>
      <c r="O193" s="60"/>
      <c r="P193" s="60">
        <v>4129816.67</v>
      </c>
      <c r="Q193" s="60">
        <f t="shared" si="209"/>
        <v>384090.7</v>
      </c>
      <c r="R193" s="60">
        <f t="shared" si="210"/>
        <v>4404047.5</v>
      </c>
      <c r="S193" s="60">
        <f t="shared" si="211"/>
        <v>493830.9</v>
      </c>
      <c r="T193" s="60"/>
      <c r="U193" s="60">
        <f t="shared" si="203"/>
        <v>144395</v>
      </c>
      <c r="V193" s="61">
        <f t="shared" si="184"/>
        <v>296623.64</v>
      </c>
      <c r="W193" s="62">
        <f t="shared" si="188"/>
        <v>14301936.220000001</v>
      </c>
      <c r="X193" s="60" t="s">
        <v>17</v>
      </c>
      <c r="Y193" s="59">
        <v>0</v>
      </c>
      <c r="Z193" s="59">
        <v>0</v>
      </c>
      <c r="AA193" s="59">
        <v>0</v>
      </c>
      <c r="AB193" s="56">
        <f t="shared" si="177"/>
        <v>14301936.220000001</v>
      </c>
    </row>
    <row r="194" spans="1:39" s="36" customFormat="1" ht="52.5" customHeight="1" x14ac:dyDescent="0.25">
      <c r="A194" s="36">
        <v>2018</v>
      </c>
      <c r="B194" s="53">
        <f>IF(OR(E194=0,E194=""),"",COUNTA($E$21:E194))</f>
        <v>158</v>
      </c>
      <c r="C194" s="53" t="s">
        <v>214</v>
      </c>
      <c r="D194" s="82" t="s">
        <v>736</v>
      </c>
      <c r="E194" s="58">
        <v>1972</v>
      </c>
      <c r="F194" s="60">
        <v>7664.8</v>
      </c>
      <c r="G194" s="60">
        <v>5976.1</v>
      </c>
      <c r="H194" s="60">
        <v>1688.7</v>
      </c>
      <c r="I194" s="60" t="s">
        <v>33</v>
      </c>
      <c r="J194" s="60"/>
      <c r="K194" s="60"/>
      <c r="L194" s="60"/>
      <c r="M194" s="60">
        <f t="shared" si="206"/>
        <v>2498724.7999999998</v>
      </c>
      <c r="N194" s="60">
        <f t="shared" si="207"/>
        <v>1486971.2</v>
      </c>
      <c r="O194" s="60"/>
      <c r="P194" s="60">
        <f t="shared" si="208"/>
        <v>12869199.199999999</v>
      </c>
      <c r="Q194" s="60"/>
      <c r="R194" s="60"/>
      <c r="S194" s="60"/>
      <c r="T194" s="60"/>
      <c r="U194" s="60">
        <f t="shared" si="203"/>
        <v>383240</v>
      </c>
      <c r="V194" s="61">
        <f t="shared" si="184"/>
        <v>360694.76</v>
      </c>
      <c r="W194" s="62">
        <f t="shared" si="188"/>
        <v>17598829.960000001</v>
      </c>
      <c r="X194" s="60" t="s">
        <v>17</v>
      </c>
      <c r="Y194" s="59">
        <v>0</v>
      </c>
      <c r="Z194" s="59">
        <v>0</v>
      </c>
      <c r="AA194" s="59">
        <v>0</v>
      </c>
      <c r="AB194" s="56">
        <f t="shared" si="177"/>
        <v>17598829.960000001</v>
      </c>
    </row>
    <row r="195" spans="1:39" s="36" customFormat="1" ht="52.5" customHeight="1" x14ac:dyDescent="0.25">
      <c r="A195" s="36">
        <v>2018</v>
      </c>
      <c r="B195" s="53">
        <f>IF(OR(E195=0,E195=""),"",COUNTA($E$21:E195))</f>
        <v>159</v>
      </c>
      <c r="C195" s="53" t="s">
        <v>199</v>
      </c>
      <c r="D195" s="82" t="s">
        <v>1060</v>
      </c>
      <c r="E195" s="58">
        <v>1963</v>
      </c>
      <c r="F195" s="60">
        <v>656.5</v>
      </c>
      <c r="G195" s="60">
        <v>339.9</v>
      </c>
      <c r="H195" s="60">
        <v>0</v>
      </c>
      <c r="I195" s="60" t="s">
        <v>35</v>
      </c>
      <c r="J195" s="60">
        <f t="shared" ref="J195:J196" si="212">431*F195</f>
        <v>282951.5</v>
      </c>
      <c r="K195" s="60">
        <f t="shared" ref="K195" si="213">500*F195</f>
        <v>328250</v>
      </c>
      <c r="L195" s="60"/>
      <c r="M195" s="60">
        <f t="shared" ref="M195:M196" si="214">223*F195</f>
        <v>146399.5</v>
      </c>
      <c r="N195" s="60">
        <f t="shared" ref="N195:N196" si="215">134*F195</f>
        <v>87971</v>
      </c>
      <c r="O195" s="60"/>
      <c r="P195" s="60">
        <f t="shared" ref="P195:P196" si="216">2013*F195</f>
        <v>1321534.5</v>
      </c>
      <c r="Q195" s="60"/>
      <c r="R195" s="60">
        <f t="shared" ref="R195:R196" si="217">1657*F195</f>
        <v>1087820.5</v>
      </c>
      <c r="S195" s="60">
        <f t="shared" ref="S195:S196" si="218">134*F195</f>
        <v>87971</v>
      </c>
      <c r="T195" s="60"/>
      <c r="U195" s="60">
        <f t="shared" ref="U195:U201" si="219">50*F195</f>
        <v>32825</v>
      </c>
      <c r="V195" s="60">
        <f t="shared" si="184"/>
        <v>71538.02</v>
      </c>
      <c r="W195" s="62">
        <f t="shared" si="188"/>
        <v>3447261.02</v>
      </c>
      <c r="X195" s="60" t="s">
        <v>17</v>
      </c>
      <c r="Y195" s="59">
        <v>0</v>
      </c>
      <c r="Z195" s="59">
        <v>0</v>
      </c>
      <c r="AA195" s="59">
        <v>0</v>
      </c>
      <c r="AB195" s="56">
        <f t="shared" si="177"/>
        <v>3447261.02</v>
      </c>
    </row>
    <row r="196" spans="1:39" s="36" customFormat="1" ht="52.5" customHeight="1" x14ac:dyDescent="0.25">
      <c r="A196" s="36">
        <v>2018</v>
      </c>
      <c r="B196" s="53">
        <f>IF(OR(E196=0,E196=""),"",COUNTA($E$21:E196))</f>
        <v>160</v>
      </c>
      <c r="C196" s="53" t="s">
        <v>200</v>
      </c>
      <c r="D196" s="82" t="s">
        <v>737</v>
      </c>
      <c r="E196" s="58">
        <v>1959</v>
      </c>
      <c r="F196" s="60">
        <v>763.2</v>
      </c>
      <c r="G196" s="60">
        <v>441.8</v>
      </c>
      <c r="H196" s="60">
        <v>0</v>
      </c>
      <c r="I196" s="60" t="s">
        <v>35</v>
      </c>
      <c r="J196" s="60">
        <f t="shared" si="212"/>
        <v>328939.2</v>
      </c>
      <c r="K196" s="60"/>
      <c r="L196" s="60"/>
      <c r="M196" s="60">
        <f t="shared" si="214"/>
        <v>170193.6</v>
      </c>
      <c r="N196" s="60">
        <f t="shared" si="215"/>
        <v>102268.8</v>
      </c>
      <c r="O196" s="60"/>
      <c r="P196" s="60">
        <f t="shared" si="216"/>
        <v>1536321.6</v>
      </c>
      <c r="Q196" s="60"/>
      <c r="R196" s="60">
        <f t="shared" si="217"/>
        <v>1264622.3999999999</v>
      </c>
      <c r="S196" s="60">
        <f t="shared" si="218"/>
        <v>102268.8</v>
      </c>
      <c r="T196" s="60"/>
      <c r="U196" s="60">
        <f t="shared" si="219"/>
        <v>38160</v>
      </c>
      <c r="V196" s="60">
        <f t="shared" si="184"/>
        <v>74998.75</v>
      </c>
      <c r="W196" s="62">
        <f t="shared" si="188"/>
        <v>3617773.15</v>
      </c>
      <c r="X196" s="60" t="s">
        <v>17</v>
      </c>
      <c r="Y196" s="59">
        <v>0</v>
      </c>
      <c r="Z196" s="59">
        <v>0</v>
      </c>
      <c r="AA196" s="59">
        <v>0</v>
      </c>
      <c r="AB196" s="56">
        <f t="shared" si="177"/>
        <v>3617773.15</v>
      </c>
    </row>
    <row r="197" spans="1:39" s="36" customFormat="1" ht="52.5" customHeight="1" x14ac:dyDescent="0.25">
      <c r="A197" s="36">
        <v>2018</v>
      </c>
      <c r="B197" s="53">
        <f>IF(OR(E197=0,E197=""),"",COUNTA($E$21:E197))</f>
        <v>161</v>
      </c>
      <c r="C197" s="53" t="s">
        <v>291</v>
      </c>
      <c r="D197" s="82" t="s">
        <v>738</v>
      </c>
      <c r="E197" s="58">
        <v>1973</v>
      </c>
      <c r="F197" s="60">
        <v>2905.89</v>
      </c>
      <c r="G197" s="60">
        <v>1690.59</v>
      </c>
      <c r="H197" s="60">
        <v>1125.5</v>
      </c>
      <c r="I197" s="60" t="s">
        <v>33</v>
      </c>
      <c r="J197" s="60"/>
      <c r="K197" s="60"/>
      <c r="L197" s="60"/>
      <c r="M197" s="60"/>
      <c r="N197" s="60"/>
      <c r="O197" s="60"/>
      <c r="P197" s="60">
        <f>1679*F197</f>
        <v>4878989.3099999996</v>
      </c>
      <c r="Q197" s="60"/>
      <c r="R197" s="60"/>
      <c r="S197" s="60"/>
      <c r="T197" s="60"/>
      <c r="U197" s="60">
        <f>50*F197</f>
        <v>145294.5</v>
      </c>
      <c r="V197" s="61">
        <f>(J197+K197+L197+M197+N197+O197+P197+Q197+R197+S197+T197)*0.0214</f>
        <v>104410.37</v>
      </c>
      <c r="W197" s="62">
        <f t="shared" si="188"/>
        <v>5128694.18</v>
      </c>
      <c r="X197" s="60" t="s">
        <v>17</v>
      </c>
      <c r="Y197" s="59">
        <v>0</v>
      </c>
      <c r="Z197" s="59">
        <v>0</v>
      </c>
      <c r="AA197" s="59">
        <v>0</v>
      </c>
      <c r="AB197" s="56">
        <f t="shared" si="177"/>
        <v>5128694.18</v>
      </c>
    </row>
    <row r="198" spans="1:39" s="36" customFormat="1" ht="52.5" customHeight="1" x14ac:dyDescent="0.25">
      <c r="A198" s="36">
        <v>2018</v>
      </c>
      <c r="B198" s="53">
        <f>IF(OR(E198=0,E198=""),"",COUNTA($E$21:E198))</f>
        <v>162</v>
      </c>
      <c r="C198" s="53" t="s">
        <v>194</v>
      </c>
      <c r="D198" s="82" t="s">
        <v>739</v>
      </c>
      <c r="E198" s="58">
        <v>1959</v>
      </c>
      <c r="F198" s="60">
        <v>365.2</v>
      </c>
      <c r="G198" s="60">
        <v>317.60000000000002</v>
      </c>
      <c r="H198" s="60">
        <v>0</v>
      </c>
      <c r="I198" s="60" t="s">
        <v>35</v>
      </c>
      <c r="J198" s="60">
        <f t="shared" ref="J198:J201" si="220">431*F198</f>
        <v>157401.20000000001</v>
      </c>
      <c r="K198" s="60"/>
      <c r="L198" s="60"/>
      <c r="M198" s="60">
        <f t="shared" ref="M198:M199" si="221">223*F198</f>
        <v>81439.600000000006</v>
      </c>
      <c r="N198" s="60">
        <f t="shared" ref="N198:N199" si="222">134*F198</f>
        <v>48936.800000000003</v>
      </c>
      <c r="O198" s="60"/>
      <c r="P198" s="60">
        <f t="shared" ref="P198:P201" si="223">2013*F198</f>
        <v>735147.6</v>
      </c>
      <c r="Q198" s="60">
        <f t="shared" ref="Q198" si="224">191*F198</f>
        <v>69753.2</v>
      </c>
      <c r="R198" s="60">
        <f t="shared" ref="R198:R201" si="225">1657*F198</f>
        <v>605136.4</v>
      </c>
      <c r="S198" s="60">
        <f t="shared" ref="S198:S201" si="226">134*F198</f>
        <v>48936.800000000003</v>
      </c>
      <c r="T198" s="60"/>
      <c r="U198" s="60">
        <f t="shared" si="219"/>
        <v>18260</v>
      </c>
      <c r="V198" s="60">
        <f t="shared" si="184"/>
        <v>37380.480000000003</v>
      </c>
      <c r="W198" s="62">
        <f t="shared" si="188"/>
        <v>1802392.08</v>
      </c>
      <c r="X198" s="63" t="s">
        <v>17</v>
      </c>
      <c r="Y198" s="59">
        <v>0</v>
      </c>
      <c r="Z198" s="59">
        <v>0</v>
      </c>
      <c r="AA198" s="59">
        <v>0</v>
      </c>
      <c r="AB198" s="56">
        <f t="shared" si="177"/>
        <v>1802392.08</v>
      </c>
    </row>
    <row r="199" spans="1:39" s="36" customFormat="1" ht="52.5" customHeight="1" x14ac:dyDescent="0.25">
      <c r="A199" s="36">
        <v>2018</v>
      </c>
      <c r="B199" s="53">
        <f>IF(OR(E199=0,E199=""),"",COUNTA($E$21:E199))</f>
        <v>163</v>
      </c>
      <c r="C199" s="53" t="s">
        <v>197</v>
      </c>
      <c r="D199" s="82" t="s">
        <v>740</v>
      </c>
      <c r="E199" s="58">
        <v>1959</v>
      </c>
      <c r="F199" s="60">
        <v>472.17</v>
      </c>
      <c r="G199" s="60">
        <v>431.27</v>
      </c>
      <c r="H199" s="60">
        <v>0</v>
      </c>
      <c r="I199" s="60" t="s">
        <v>35</v>
      </c>
      <c r="J199" s="60">
        <f t="shared" si="220"/>
        <v>203505.27</v>
      </c>
      <c r="K199" s="60"/>
      <c r="L199" s="60"/>
      <c r="M199" s="60">
        <f t="shared" si="221"/>
        <v>105293.91</v>
      </c>
      <c r="N199" s="60">
        <f t="shared" si="222"/>
        <v>63270.78</v>
      </c>
      <c r="O199" s="60"/>
      <c r="P199" s="60">
        <f t="shared" si="223"/>
        <v>950478.21</v>
      </c>
      <c r="Q199" s="60"/>
      <c r="R199" s="60">
        <f t="shared" si="225"/>
        <v>782385.69</v>
      </c>
      <c r="S199" s="60">
        <f t="shared" si="226"/>
        <v>63270.78</v>
      </c>
      <c r="T199" s="60"/>
      <c r="U199" s="60">
        <f t="shared" si="219"/>
        <v>23608.5</v>
      </c>
      <c r="V199" s="60">
        <f t="shared" si="184"/>
        <v>46399.58</v>
      </c>
      <c r="W199" s="62">
        <f t="shared" si="188"/>
        <v>2238212.7200000002</v>
      </c>
      <c r="X199" s="63" t="s">
        <v>17</v>
      </c>
      <c r="Y199" s="59">
        <v>0</v>
      </c>
      <c r="Z199" s="59">
        <v>0</v>
      </c>
      <c r="AA199" s="59">
        <v>0</v>
      </c>
      <c r="AB199" s="56">
        <f t="shared" si="177"/>
        <v>2238212.7200000002</v>
      </c>
    </row>
    <row r="200" spans="1:39" s="36" customFormat="1" ht="52.5" customHeight="1" x14ac:dyDescent="0.25">
      <c r="A200" s="36">
        <v>2018</v>
      </c>
      <c r="B200" s="53">
        <f>IF(OR(E200=0,E200=""),"",COUNTA($E$21:E200))</f>
        <v>164</v>
      </c>
      <c r="C200" s="53" t="s">
        <v>225</v>
      </c>
      <c r="D200" s="82" t="s">
        <v>741</v>
      </c>
      <c r="E200" s="58">
        <v>1958</v>
      </c>
      <c r="F200" s="60">
        <v>473.3</v>
      </c>
      <c r="G200" s="60">
        <v>266.60000000000002</v>
      </c>
      <c r="H200" s="60">
        <v>35.799999999999997</v>
      </c>
      <c r="I200" s="60" t="s">
        <v>35</v>
      </c>
      <c r="J200" s="60">
        <f t="shared" si="220"/>
        <v>203992.3</v>
      </c>
      <c r="K200" s="60"/>
      <c r="L200" s="60"/>
      <c r="M200" s="60"/>
      <c r="N200" s="60"/>
      <c r="O200" s="60"/>
      <c r="P200" s="60">
        <f t="shared" si="223"/>
        <v>952752.9</v>
      </c>
      <c r="Q200" s="60"/>
      <c r="R200" s="60">
        <f t="shared" si="225"/>
        <v>784258.1</v>
      </c>
      <c r="S200" s="60">
        <f t="shared" si="226"/>
        <v>63422.2</v>
      </c>
      <c r="T200" s="60"/>
      <c r="U200" s="60">
        <f t="shared" si="219"/>
        <v>23665</v>
      </c>
      <c r="V200" s="60">
        <f t="shared" si="184"/>
        <v>42894.71</v>
      </c>
      <c r="W200" s="62">
        <f t="shared" si="188"/>
        <v>2070985.21</v>
      </c>
      <c r="X200" s="60" t="s">
        <v>17</v>
      </c>
      <c r="Y200" s="59">
        <v>0</v>
      </c>
      <c r="Z200" s="59">
        <v>0</v>
      </c>
      <c r="AA200" s="59">
        <v>0</v>
      </c>
      <c r="AB200" s="56">
        <f t="shared" si="177"/>
        <v>2070985.21</v>
      </c>
    </row>
    <row r="201" spans="1:39" s="36" customFormat="1" ht="52.5" customHeight="1" x14ac:dyDescent="0.25">
      <c r="A201" s="36">
        <v>2018</v>
      </c>
      <c r="B201" s="53">
        <f>IF(OR(E201=0,E201=""),"",COUNTA($E$21:E201))</f>
        <v>165</v>
      </c>
      <c r="C201" s="53" t="s">
        <v>306</v>
      </c>
      <c r="D201" s="82" t="s">
        <v>742</v>
      </c>
      <c r="E201" s="58">
        <v>1961</v>
      </c>
      <c r="F201" s="60">
        <v>321.60000000000002</v>
      </c>
      <c r="G201" s="60">
        <v>287</v>
      </c>
      <c r="H201" s="60">
        <v>0</v>
      </c>
      <c r="I201" s="60" t="s">
        <v>35</v>
      </c>
      <c r="J201" s="60">
        <f t="shared" si="220"/>
        <v>138609.60000000001</v>
      </c>
      <c r="K201" s="60"/>
      <c r="L201" s="60"/>
      <c r="M201" s="60">
        <f t="shared" ref="M201" si="227">223*F201</f>
        <v>71716.800000000003</v>
      </c>
      <c r="N201" s="60">
        <f t="shared" ref="N201" si="228">134*F201</f>
        <v>43094.400000000001</v>
      </c>
      <c r="O201" s="60"/>
      <c r="P201" s="60">
        <f t="shared" si="223"/>
        <v>647380.80000000005</v>
      </c>
      <c r="Q201" s="60"/>
      <c r="R201" s="60">
        <f t="shared" si="225"/>
        <v>532891.19999999995</v>
      </c>
      <c r="S201" s="60">
        <f t="shared" si="226"/>
        <v>43094.400000000001</v>
      </c>
      <c r="T201" s="60"/>
      <c r="U201" s="60">
        <f t="shared" si="219"/>
        <v>16080</v>
      </c>
      <c r="V201" s="60">
        <f t="shared" si="184"/>
        <v>31603.25</v>
      </c>
      <c r="W201" s="62">
        <f t="shared" si="188"/>
        <v>1524470.45</v>
      </c>
      <c r="X201" s="60" t="s">
        <v>17</v>
      </c>
      <c r="Y201" s="59">
        <v>0</v>
      </c>
      <c r="Z201" s="59">
        <v>0</v>
      </c>
      <c r="AA201" s="59">
        <v>0</v>
      </c>
      <c r="AB201" s="56">
        <f t="shared" si="177"/>
        <v>1524470.45</v>
      </c>
    </row>
    <row r="202" spans="1:39" s="36" customFormat="1" ht="52.5" customHeight="1" x14ac:dyDescent="0.25">
      <c r="A202" s="36">
        <v>2018</v>
      </c>
      <c r="B202" s="53">
        <f>IF(OR(E202=0,E202=""),"",COUNTA($E$21:E202))</f>
        <v>166</v>
      </c>
      <c r="C202" s="53" t="s">
        <v>271</v>
      </c>
      <c r="D202" s="83" t="s">
        <v>743</v>
      </c>
      <c r="E202" s="58">
        <v>1917</v>
      </c>
      <c r="F202" s="60">
        <v>486.5</v>
      </c>
      <c r="G202" s="60">
        <v>318.39999999999998</v>
      </c>
      <c r="H202" s="60">
        <v>155.4</v>
      </c>
      <c r="I202" s="60" t="s">
        <v>29</v>
      </c>
      <c r="J202" s="60"/>
      <c r="K202" s="60"/>
      <c r="L202" s="60"/>
      <c r="M202" s="60"/>
      <c r="N202" s="60"/>
      <c r="O202" s="60"/>
      <c r="P202" s="60">
        <f>3100*F202</f>
        <v>1508150</v>
      </c>
      <c r="Q202" s="60"/>
      <c r="R202" s="60"/>
      <c r="S202" s="60">
        <f>195*F202</f>
        <v>94867.5</v>
      </c>
      <c r="T202" s="60"/>
      <c r="U202" s="60">
        <f>900*F202</f>
        <v>437850</v>
      </c>
      <c r="V202" s="60"/>
      <c r="W202" s="62">
        <f t="shared" si="188"/>
        <v>2040867.5</v>
      </c>
      <c r="X202" s="60" t="s">
        <v>17</v>
      </c>
      <c r="Y202" s="59">
        <v>0</v>
      </c>
      <c r="Z202" s="59">
        <v>0</v>
      </c>
      <c r="AA202" s="59">
        <v>0</v>
      </c>
      <c r="AB202" s="56">
        <f t="shared" si="177"/>
        <v>2040867.5</v>
      </c>
    </row>
    <row r="203" spans="1:39" s="36" customFormat="1" ht="52.5" customHeight="1" x14ac:dyDescent="0.25">
      <c r="A203" s="36">
        <v>2018</v>
      </c>
      <c r="B203" s="53">
        <f>IF(OR(E203=0,E203=""),"",COUNTA($E$21:E203))</f>
        <v>167</v>
      </c>
      <c r="C203" s="53" t="s">
        <v>285</v>
      </c>
      <c r="D203" s="83" t="s">
        <v>744</v>
      </c>
      <c r="E203" s="58">
        <v>1953</v>
      </c>
      <c r="F203" s="60">
        <v>710.3</v>
      </c>
      <c r="G203" s="64">
        <v>547</v>
      </c>
      <c r="H203" s="60">
        <v>0</v>
      </c>
      <c r="I203" s="60" t="s">
        <v>35</v>
      </c>
      <c r="J203" s="60"/>
      <c r="K203" s="60"/>
      <c r="L203" s="60"/>
      <c r="M203" s="60"/>
      <c r="N203" s="60"/>
      <c r="O203" s="60"/>
      <c r="P203" s="60">
        <f t="shared" ref="P203:P204" si="229">2013*F203</f>
        <v>1429833.9</v>
      </c>
      <c r="Q203" s="60"/>
      <c r="R203" s="60">
        <f t="shared" ref="R203:R204" si="230">1657*F203</f>
        <v>1176967.1000000001</v>
      </c>
      <c r="S203" s="60">
        <f t="shared" ref="S203:S204" si="231">134*F203</f>
        <v>95180.2</v>
      </c>
      <c r="T203" s="60"/>
      <c r="U203" s="60">
        <f t="shared" ref="U203:U204" si="232">50*F203</f>
        <v>35515</v>
      </c>
      <c r="V203" s="60">
        <f t="shared" si="184"/>
        <v>57822.400000000001</v>
      </c>
      <c r="W203" s="62">
        <f t="shared" si="188"/>
        <v>2795318.6</v>
      </c>
      <c r="X203" s="60" t="s">
        <v>17</v>
      </c>
      <c r="Y203" s="59">
        <v>0</v>
      </c>
      <c r="Z203" s="59">
        <v>0</v>
      </c>
      <c r="AA203" s="59"/>
      <c r="AB203" s="56">
        <f t="shared" si="177"/>
        <v>2795318.6</v>
      </c>
    </row>
    <row r="204" spans="1:39" s="36" customFormat="1" ht="52.5" customHeight="1" x14ac:dyDescent="0.25">
      <c r="A204" s="36">
        <v>2018</v>
      </c>
      <c r="B204" s="53">
        <f>IF(OR(E204=0,E204=""),"",COUNTA($E$21:E204))</f>
        <v>168</v>
      </c>
      <c r="C204" s="53" t="s">
        <v>1071</v>
      </c>
      <c r="D204" s="82" t="s">
        <v>745</v>
      </c>
      <c r="E204" s="58">
        <v>1951</v>
      </c>
      <c r="F204" s="60">
        <v>359.6</v>
      </c>
      <c r="G204" s="60">
        <v>359.6</v>
      </c>
      <c r="H204" s="60">
        <v>0</v>
      </c>
      <c r="I204" s="60" t="s">
        <v>35</v>
      </c>
      <c r="J204" s="60">
        <f t="shared" ref="J204" si="233">431*F204</f>
        <v>154987.6</v>
      </c>
      <c r="K204" s="60">
        <f t="shared" ref="K204" si="234">500*F204</f>
        <v>179800</v>
      </c>
      <c r="L204" s="60"/>
      <c r="M204" s="60">
        <f t="shared" ref="M204" si="235">223*F204</f>
        <v>80190.8</v>
      </c>
      <c r="N204" s="60">
        <f t="shared" ref="N204" si="236">134*F204</f>
        <v>48186.400000000001</v>
      </c>
      <c r="O204" s="60"/>
      <c r="P204" s="60">
        <f t="shared" si="229"/>
        <v>723874.8</v>
      </c>
      <c r="Q204" s="60"/>
      <c r="R204" s="60">
        <f t="shared" si="230"/>
        <v>595857.19999999995</v>
      </c>
      <c r="S204" s="60">
        <f t="shared" si="231"/>
        <v>48186.400000000001</v>
      </c>
      <c r="T204" s="60"/>
      <c r="U204" s="60">
        <f t="shared" si="232"/>
        <v>17980</v>
      </c>
      <c r="V204" s="60">
        <f t="shared" si="184"/>
        <v>39185.18</v>
      </c>
      <c r="W204" s="62">
        <f t="shared" si="188"/>
        <v>1888248.38</v>
      </c>
      <c r="X204" s="60" t="s">
        <v>17</v>
      </c>
      <c r="Y204" s="59">
        <v>0</v>
      </c>
      <c r="Z204" s="59">
        <v>0</v>
      </c>
      <c r="AA204" s="59">
        <v>0</v>
      </c>
      <c r="AB204" s="56">
        <f t="shared" si="177"/>
        <v>1888248.38</v>
      </c>
    </row>
    <row r="205" spans="1:39" s="36" customFormat="1" ht="52.5" customHeight="1" x14ac:dyDescent="0.25">
      <c r="A205" s="36">
        <v>2018</v>
      </c>
      <c r="B205" s="53">
        <f>IF(OR(E205=0,E205=""),"",COUNTA($E$21:E205))</f>
        <v>169</v>
      </c>
      <c r="C205" s="53" t="s">
        <v>201</v>
      </c>
      <c r="D205" s="82" t="s">
        <v>746</v>
      </c>
      <c r="E205" s="58">
        <v>1966</v>
      </c>
      <c r="F205" s="60">
        <v>12412.2</v>
      </c>
      <c r="G205" s="60">
        <v>8491.4</v>
      </c>
      <c r="H205" s="60">
        <v>2448</v>
      </c>
      <c r="I205" s="60" t="s">
        <v>33</v>
      </c>
      <c r="J205" s="60"/>
      <c r="K205" s="60"/>
      <c r="L205" s="60"/>
      <c r="M205" s="60"/>
      <c r="N205" s="60"/>
      <c r="O205" s="60"/>
      <c r="P205" s="60">
        <f>1679*F205</f>
        <v>20840083.800000001</v>
      </c>
      <c r="Q205" s="60"/>
      <c r="R205" s="60"/>
      <c r="S205" s="60"/>
      <c r="T205" s="60"/>
      <c r="U205" s="60"/>
      <c r="V205" s="60"/>
      <c r="W205" s="62">
        <f t="shared" si="188"/>
        <v>20840083.800000001</v>
      </c>
      <c r="X205" s="60" t="s">
        <v>17</v>
      </c>
      <c r="Y205" s="59">
        <v>0</v>
      </c>
      <c r="Z205" s="59">
        <v>0</v>
      </c>
      <c r="AA205" s="59">
        <v>0</v>
      </c>
      <c r="AB205" s="56">
        <f t="shared" si="177"/>
        <v>20840083.800000001</v>
      </c>
    </row>
    <row r="206" spans="1:39" s="36" customFormat="1" ht="52.5" customHeight="1" x14ac:dyDescent="0.25">
      <c r="A206" s="36">
        <v>2018</v>
      </c>
      <c r="B206" s="53">
        <f>IF(OR(E206=0,E206=""),"",COUNTA($E$21:E206))</f>
        <v>170</v>
      </c>
      <c r="C206" s="53" t="s">
        <v>369</v>
      </c>
      <c r="D206" s="82" t="s">
        <v>747</v>
      </c>
      <c r="E206" s="58">
        <v>1968</v>
      </c>
      <c r="F206" s="60">
        <v>2053.6</v>
      </c>
      <c r="G206" s="60">
        <v>1863.2</v>
      </c>
      <c r="H206" s="60">
        <v>0</v>
      </c>
      <c r="I206" s="60" t="s">
        <v>33</v>
      </c>
      <c r="J206" s="60">
        <f>391*F206</f>
        <v>802957.6</v>
      </c>
      <c r="K206" s="60"/>
      <c r="L206" s="60"/>
      <c r="M206" s="60">
        <f>326*F206</f>
        <v>669473.6</v>
      </c>
      <c r="N206" s="60">
        <f>194*F206</f>
        <v>398398.4</v>
      </c>
      <c r="O206" s="60"/>
      <c r="P206" s="60"/>
      <c r="Q206" s="60"/>
      <c r="R206" s="60"/>
      <c r="S206" s="60"/>
      <c r="T206" s="60"/>
      <c r="U206" s="60"/>
      <c r="V206" s="60">
        <f>(J206+K206+L206+M206+N206+O206+P206+Q206+R206+S206+T206)*0.0214</f>
        <v>40035.75</v>
      </c>
      <c r="W206" s="62">
        <f t="shared" si="188"/>
        <v>1910865.35</v>
      </c>
      <c r="X206" s="60" t="s">
        <v>17</v>
      </c>
      <c r="Y206" s="59">
        <v>0</v>
      </c>
      <c r="Z206" s="59">
        <v>0</v>
      </c>
      <c r="AA206" s="59">
        <v>0</v>
      </c>
      <c r="AB206" s="56">
        <f t="shared" si="177"/>
        <v>1910865.35</v>
      </c>
    </row>
    <row r="207" spans="1:39" s="39" customFormat="1" ht="52.5" customHeight="1" x14ac:dyDescent="0.25">
      <c r="A207" s="36">
        <v>2018</v>
      </c>
      <c r="B207" s="53">
        <f>IF(OR(E207=0,E207=""),"",COUNTA($E$21:E207))</f>
        <v>171</v>
      </c>
      <c r="C207" s="53" t="s">
        <v>205</v>
      </c>
      <c r="D207" s="82" t="s">
        <v>748</v>
      </c>
      <c r="E207" s="58">
        <v>1982</v>
      </c>
      <c r="F207" s="60">
        <v>17103</v>
      </c>
      <c r="G207" s="60">
        <v>11528</v>
      </c>
      <c r="H207" s="60">
        <v>0</v>
      </c>
      <c r="I207" s="60" t="s">
        <v>31</v>
      </c>
      <c r="J207" s="60"/>
      <c r="K207" s="60"/>
      <c r="L207" s="60"/>
      <c r="M207" s="60"/>
      <c r="N207" s="60"/>
      <c r="O207" s="60">
        <v>12900000</v>
      </c>
      <c r="P207" s="60"/>
      <c r="Q207" s="60"/>
      <c r="R207" s="60"/>
      <c r="S207" s="60"/>
      <c r="T207" s="60"/>
      <c r="U207" s="60">
        <f>13*F207</f>
        <v>222339</v>
      </c>
      <c r="V207" s="60">
        <f t="shared" ref="V207:V211" si="237">(J207+K207+L207+M207+N207+O207+P207+Q207+R207+S207+T207)*0.0214</f>
        <v>276060</v>
      </c>
      <c r="W207" s="62">
        <f t="shared" si="188"/>
        <v>13398399</v>
      </c>
      <c r="X207" s="60" t="s">
        <v>17</v>
      </c>
      <c r="Y207" s="59">
        <v>0</v>
      </c>
      <c r="Z207" s="59">
        <v>0</v>
      </c>
      <c r="AA207" s="59">
        <v>0</v>
      </c>
      <c r="AB207" s="56">
        <f t="shared" si="177"/>
        <v>13398399</v>
      </c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</row>
    <row r="208" spans="1:39" s="39" customFormat="1" ht="52.5" customHeight="1" x14ac:dyDescent="0.25">
      <c r="A208" s="36">
        <v>2018</v>
      </c>
      <c r="B208" s="53">
        <f>IF(OR(E208=0,E208=""),"",COUNTA($E$21:E208))</f>
        <v>172</v>
      </c>
      <c r="C208" s="53" t="s">
        <v>388</v>
      </c>
      <c r="D208" s="82" t="s">
        <v>749</v>
      </c>
      <c r="E208" s="58">
        <v>1980</v>
      </c>
      <c r="F208" s="60">
        <v>13046</v>
      </c>
      <c r="G208" s="60">
        <v>9844.4</v>
      </c>
      <c r="H208" s="60">
        <v>257</v>
      </c>
      <c r="I208" s="60" t="s">
        <v>31</v>
      </c>
      <c r="J208" s="60"/>
      <c r="K208" s="60"/>
      <c r="L208" s="60"/>
      <c r="M208" s="60"/>
      <c r="N208" s="60"/>
      <c r="O208" s="60">
        <v>10750000</v>
      </c>
      <c r="P208" s="60"/>
      <c r="Q208" s="60"/>
      <c r="R208" s="60"/>
      <c r="S208" s="60"/>
      <c r="T208" s="60"/>
      <c r="U208" s="60">
        <f>13*F208</f>
        <v>169598</v>
      </c>
      <c r="V208" s="60"/>
      <c r="W208" s="62">
        <f t="shared" si="188"/>
        <v>10919598</v>
      </c>
      <c r="X208" s="60" t="s">
        <v>17</v>
      </c>
      <c r="Y208" s="59">
        <v>0</v>
      </c>
      <c r="Z208" s="59">
        <v>0</v>
      </c>
      <c r="AA208" s="59">
        <v>0</v>
      </c>
      <c r="AB208" s="56">
        <f t="shared" si="177"/>
        <v>10919598</v>
      </c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</row>
    <row r="209" spans="1:39" s="39" customFormat="1" ht="52.5" customHeight="1" x14ac:dyDescent="0.25">
      <c r="A209" s="36">
        <v>2018</v>
      </c>
      <c r="B209" s="53">
        <f>IF(OR(E209=0,E209=""),"",COUNTA($E$21:E209))</f>
        <v>173</v>
      </c>
      <c r="C209" s="53" t="s">
        <v>202</v>
      </c>
      <c r="D209" s="82" t="s">
        <v>750</v>
      </c>
      <c r="E209" s="58">
        <v>1990</v>
      </c>
      <c r="F209" s="60">
        <v>5841.5</v>
      </c>
      <c r="G209" s="60">
        <v>3321.7</v>
      </c>
      <c r="H209" s="60">
        <v>1898</v>
      </c>
      <c r="I209" s="60" t="s">
        <v>82</v>
      </c>
      <c r="J209" s="60"/>
      <c r="K209" s="60"/>
      <c r="L209" s="60"/>
      <c r="M209" s="60"/>
      <c r="N209" s="60"/>
      <c r="O209" s="60">
        <f>2350000*2</f>
        <v>4700000</v>
      </c>
      <c r="P209" s="60"/>
      <c r="Q209" s="60"/>
      <c r="R209" s="60"/>
      <c r="S209" s="60"/>
      <c r="T209" s="60"/>
      <c r="U209" s="60">
        <f>12*F209</f>
        <v>70098</v>
      </c>
      <c r="V209" s="60">
        <f t="shared" si="237"/>
        <v>100580</v>
      </c>
      <c r="W209" s="62">
        <f t="shared" si="188"/>
        <v>4870678</v>
      </c>
      <c r="X209" s="60" t="s">
        <v>17</v>
      </c>
      <c r="Y209" s="59">
        <v>0</v>
      </c>
      <c r="Z209" s="59">
        <v>0</v>
      </c>
      <c r="AA209" s="59">
        <v>0</v>
      </c>
      <c r="AB209" s="56">
        <f t="shared" si="177"/>
        <v>4870678</v>
      </c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</row>
    <row r="210" spans="1:39" s="39" customFormat="1" ht="52.5" customHeight="1" x14ac:dyDescent="0.25">
      <c r="A210" s="36">
        <v>2018</v>
      </c>
      <c r="B210" s="53">
        <f>IF(OR(E210=0,E210=""),"",COUNTA($E$21:E210))</f>
        <v>174</v>
      </c>
      <c r="C210" s="53" t="s">
        <v>206</v>
      </c>
      <c r="D210" s="82" t="s">
        <v>751</v>
      </c>
      <c r="E210" s="58">
        <v>1982</v>
      </c>
      <c r="F210" s="60">
        <v>21851</v>
      </c>
      <c r="G210" s="60">
        <v>17868</v>
      </c>
      <c r="H210" s="60">
        <v>420.4</v>
      </c>
      <c r="I210" s="60" t="s">
        <v>31</v>
      </c>
      <c r="J210" s="60"/>
      <c r="K210" s="60"/>
      <c r="L210" s="60"/>
      <c r="M210" s="60"/>
      <c r="N210" s="60"/>
      <c r="O210" s="60">
        <v>19350000</v>
      </c>
      <c r="P210" s="60"/>
      <c r="Q210" s="60"/>
      <c r="R210" s="60"/>
      <c r="S210" s="60"/>
      <c r="T210" s="60"/>
      <c r="U210" s="60">
        <f>13*F210</f>
        <v>284063</v>
      </c>
      <c r="V210" s="60">
        <f t="shared" si="237"/>
        <v>414090</v>
      </c>
      <c r="W210" s="62">
        <f t="shared" si="188"/>
        <v>20048153</v>
      </c>
      <c r="X210" s="60" t="s">
        <v>17</v>
      </c>
      <c r="Y210" s="59">
        <v>0</v>
      </c>
      <c r="Z210" s="59">
        <v>0</v>
      </c>
      <c r="AA210" s="59">
        <v>0</v>
      </c>
      <c r="AB210" s="56">
        <f t="shared" si="177"/>
        <v>20048153</v>
      </c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</row>
    <row r="211" spans="1:39" s="39" customFormat="1" ht="52.5" customHeight="1" x14ac:dyDescent="0.25">
      <c r="A211" s="36">
        <v>2018</v>
      </c>
      <c r="B211" s="53">
        <f>IF(OR(E211=0,E211=""),"",COUNTA($E$21:E211))</f>
        <v>175</v>
      </c>
      <c r="C211" s="53" t="s">
        <v>394</v>
      </c>
      <c r="D211" s="82" t="s">
        <v>752</v>
      </c>
      <c r="E211" s="58">
        <v>1984</v>
      </c>
      <c r="F211" s="60">
        <v>8453.84</v>
      </c>
      <c r="G211" s="60">
        <v>7119.4</v>
      </c>
      <c r="H211" s="60">
        <v>1334.4</v>
      </c>
      <c r="I211" s="60" t="s">
        <v>31</v>
      </c>
      <c r="J211" s="60"/>
      <c r="K211" s="60"/>
      <c r="L211" s="60"/>
      <c r="M211" s="60"/>
      <c r="N211" s="60"/>
      <c r="O211" s="60">
        <v>8600000</v>
      </c>
      <c r="P211" s="60"/>
      <c r="Q211" s="60"/>
      <c r="R211" s="60"/>
      <c r="S211" s="60"/>
      <c r="T211" s="60"/>
      <c r="U211" s="60">
        <f>13*F211</f>
        <v>109899.92</v>
      </c>
      <c r="V211" s="60">
        <f t="shared" si="237"/>
        <v>184040</v>
      </c>
      <c r="W211" s="62">
        <f t="shared" si="188"/>
        <v>8893939.9199999999</v>
      </c>
      <c r="X211" s="60" t="s">
        <v>17</v>
      </c>
      <c r="Y211" s="59">
        <v>0</v>
      </c>
      <c r="Z211" s="59">
        <v>0</v>
      </c>
      <c r="AA211" s="59">
        <v>0</v>
      </c>
      <c r="AB211" s="56">
        <f t="shared" si="177"/>
        <v>8893939.9199999999</v>
      </c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</row>
    <row r="212" spans="1:39" s="36" customFormat="1" ht="52.5" customHeight="1" x14ac:dyDescent="0.25">
      <c r="B212" s="53">
        <f>IF(OR(E212=0,E212=""),"",COUNTA($E$21:E212))</f>
        <v>176</v>
      </c>
      <c r="C212" s="53" t="s">
        <v>397</v>
      </c>
      <c r="D212" s="82" t="s">
        <v>753</v>
      </c>
      <c r="E212" s="58">
        <v>1980</v>
      </c>
      <c r="F212" s="60">
        <v>3562.5</v>
      </c>
      <c r="G212" s="60">
        <v>2655.7</v>
      </c>
      <c r="H212" s="60">
        <v>827.3</v>
      </c>
      <c r="I212" s="59" t="s">
        <v>33</v>
      </c>
      <c r="J212" s="60"/>
      <c r="K212" s="60"/>
      <c r="L212" s="60"/>
      <c r="M212" s="60"/>
      <c r="N212" s="60"/>
      <c r="O212" s="60"/>
      <c r="P212" s="60"/>
      <c r="Q212" s="60"/>
      <c r="R212" s="60">
        <f>1525*F212</f>
        <v>5432812.5</v>
      </c>
      <c r="S212" s="60"/>
      <c r="T212" s="60"/>
      <c r="U212" s="60"/>
      <c r="V212" s="60"/>
      <c r="W212" s="62">
        <f t="shared" si="188"/>
        <v>5432812.5</v>
      </c>
      <c r="X212" s="60" t="s">
        <v>17</v>
      </c>
      <c r="Y212" s="59">
        <v>0</v>
      </c>
      <c r="Z212" s="59">
        <v>0</v>
      </c>
      <c r="AA212" s="59">
        <v>0</v>
      </c>
      <c r="AB212" s="56">
        <f t="shared" si="177"/>
        <v>5432812.5</v>
      </c>
    </row>
    <row r="213" spans="1:39" s="36" customFormat="1" ht="52.5" customHeight="1" x14ac:dyDescent="0.25">
      <c r="B213" s="53">
        <f>IF(OR(E213=0,E213=""),"",COUNTA($E$21:E213))</f>
        <v>177</v>
      </c>
      <c r="C213" s="53" t="s">
        <v>295</v>
      </c>
      <c r="D213" s="82" t="s">
        <v>754</v>
      </c>
      <c r="E213" s="58">
        <v>1959</v>
      </c>
      <c r="F213" s="60">
        <v>1679.8</v>
      </c>
      <c r="G213" s="60">
        <v>1570.1</v>
      </c>
      <c r="H213" s="60">
        <v>0</v>
      </c>
      <c r="I213" s="59" t="s">
        <v>33</v>
      </c>
      <c r="J213" s="60">
        <v>372523.71</v>
      </c>
      <c r="K213" s="60">
        <v>1994717.19</v>
      </c>
      <c r="L213" s="60"/>
      <c r="M213" s="60">
        <v>227266.35</v>
      </c>
      <c r="N213" s="60">
        <v>196029.43</v>
      </c>
      <c r="O213" s="60"/>
      <c r="P213" s="60">
        <v>2752158.73</v>
      </c>
      <c r="Q213" s="60">
        <f t="shared" ref="Q213" si="238">133*F213</f>
        <v>223413.4</v>
      </c>
      <c r="R213" s="60">
        <v>2418813.54</v>
      </c>
      <c r="S213" s="60">
        <f t="shared" ref="S213" si="239">171*F213</f>
        <v>287245.8</v>
      </c>
      <c r="T213" s="60"/>
      <c r="U213" s="60">
        <f t="shared" ref="U213" si="240">50*F213</f>
        <v>83990</v>
      </c>
      <c r="V213" s="61">
        <f t="shared" ref="V213" si="241">(J213+K213+L213+M213+N213+O213+P213+Q213+R213+S213+T213)*0.0214</f>
        <v>181304.4</v>
      </c>
      <c r="W213" s="62">
        <f t="shared" si="188"/>
        <v>8737462.5500000007</v>
      </c>
      <c r="X213" s="60" t="s">
        <v>17</v>
      </c>
      <c r="Y213" s="59">
        <v>0</v>
      </c>
      <c r="Z213" s="59">
        <v>0</v>
      </c>
      <c r="AA213" s="59">
        <v>0</v>
      </c>
      <c r="AB213" s="56">
        <f t="shared" si="177"/>
        <v>8737462.5500000007</v>
      </c>
    </row>
    <row r="214" spans="1:39" s="31" customFormat="1" ht="52.5" customHeight="1" x14ac:dyDescent="0.35">
      <c r="A214" s="31">
        <v>2018</v>
      </c>
      <c r="B214" s="53" t="str">
        <f>IF(OR(E214=0,E214=""),"",COUNTA($E$21:E214))</f>
        <v/>
      </c>
      <c r="C214" s="53"/>
      <c r="D214" s="84"/>
      <c r="E214" s="59"/>
      <c r="F214" s="54">
        <f>SUM(F54:F213)</f>
        <v>369665.29</v>
      </c>
      <c r="G214" s="54">
        <f>SUM(G54:G213)</f>
        <v>268530.77</v>
      </c>
      <c r="H214" s="54">
        <f>SUM(H54:H213)</f>
        <v>30950.51</v>
      </c>
      <c r="I214" s="54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54">
        <f>SUM(W54:W213)</f>
        <v>1020545141.13</v>
      </c>
      <c r="X214" s="60"/>
      <c r="Y214" s="52">
        <v>0</v>
      </c>
      <c r="Z214" s="52">
        <v>0</v>
      </c>
      <c r="AA214" s="52">
        <v>0</v>
      </c>
      <c r="AB214" s="56">
        <f t="shared" si="177"/>
        <v>1020545141.13</v>
      </c>
    </row>
    <row r="215" spans="1:39" s="31" customFormat="1" ht="52.5" customHeight="1" x14ac:dyDescent="0.35">
      <c r="A215" s="31">
        <v>2018</v>
      </c>
      <c r="B215" s="53" t="str">
        <f>IF(OR(E215=0,E215=""),"",COUNTA($E$21:E215))</f>
        <v/>
      </c>
      <c r="C215" s="53"/>
      <c r="D215" s="57" t="s">
        <v>44</v>
      </c>
      <c r="E215" s="58"/>
      <c r="F215" s="60"/>
      <c r="G215" s="60"/>
      <c r="H215" s="60"/>
      <c r="I215" s="54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59"/>
      <c r="Z215" s="59"/>
      <c r="AA215" s="59"/>
      <c r="AB215" s="56"/>
    </row>
    <row r="216" spans="1:39" s="31" customFormat="1" ht="52.5" customHeight="1" x14ac:dyDescent="0.35">
      <c r="A216" s="31">
        <v>2018</v>
      </c>
      <c r="B216" s="53">
        <f>IF(OR(E216=0,E216=""),"",COUNTA($E$21:E216))</f>
        <v>178</v>
      </c>
      <c r="C216" s="53" t="s">
        <v>471</v>
      </c>
      <c r="D216" s="58" t="s">
        <v>755</v>
      </c>
      <c r="E216" s="59">
        <v>1981</v>
      </c>
      <c r="F216" s="60">
        <v>1809.7</v>
      </c>
      <c r="G216" s="60">
        <v>1241.7</v>
      </c>
      <c r="H216" s="60">
        <v>0</v>
      </c>
      <c r="I216" s="60" t="s">
        <v>34</v>
      </c>
      <c r="J216" s="60"/>
      <c r="K216" s="60"/>
      <c r="L216" s="60"/>
      <c r="M216" s="60"/>
      <c r="N216" s="60"/>
      <c r="O216" s="60"/>
      <c r="P216" s="60">
        <f>2013*F216</f>
        <v>3642926.1</v>
      </c>
      <c r="Q216" s="60"/>
      <c r="R216" s="60"/>
      <c r="S216" s="60"/>
      <c r="T216" s="60"/>
      <c r="U216" s="60"/>
      <c r="V216" s="60"/>
      <c r="W216" s="62">
        <f>SUM(K216:V216)</f>
        <v>3642926.1</v>
      </c>
      <c r="X216" s="60" t="s">
        <v>17</v>
      </c>
      <c r="Y216" s="59">
        <v>0</v>
      </c>
      <c r="Z216" s="59">
        <v>0</v>
      </c>
      <c r="AA216" s="59">
        <v>0</v>
      </c>
      <c r="AB216" s="56">
        <f t="shared" si="177"/>
        <v>3642926.1</v>
      </c>
    </row>
    <row r="217" spans="1:39" s="31" customFormat="1" ht="52.5" customHeight="1" x14ac:dyDescent="0.4">
      <c r="A217" s="31">
        <v>2018</v>
      </c>
      <c r="B217" s="53">
        <f>IF(OR(E217=0,E217=""),"",COUNTA($E$21:E217))</f>
        <v>179</v>
      </c>
      <c r="C217" s="53" t="s">
        <v>465</v>
      </c>
      <c r="D217" s="58" t="s">
        <v>756</v>
      </c>
      <c r="E217" s="59">
        <v>1970</v>
      </c>
      <c r="F217" s="60">
        <v>1349.3</v>
      </c>
      <c r="G217" s="60">
        <v>1190.9000000000001</v>
      </c>
      <c r="H217" s="65">
        <v>0</v>
      </c>
      <c r="I217" s="60" t="s">
        <v>36</v>
      </c>
      <c r="J217" s="60">
        <f>391*F217</f>
        <v>527576.30000000005</v>
      </c>
      <c r="K217" s="60"/>
      <c r="L217" s="60"/>
      <c r="M217" s="60">
        <f>326*F217</f>
        <v>439871.8</v>
      </c>
      <c r="N217" s="60">
        <f>194*F217</f>
        <v>261764.2</v>
      </c>
      <c r="O217" s="60"/>
      <c r="P217" s="60">
        <f>1679*F217</f>
        <v>2265474.7000000002</v>
      </c>
      <c r="Q217" s="60">
        <f>133*F217</f>
        <v>179456.9</v>
      </c>
      <c r="R217" s="60">
        <f>1525*F217</f>
        <v>2057682.5</v>
      </c>
      <c r="S217" s="60">
        <f>171*F217</f>
        <v>230730.3</v>
      </c>
      <c r="T217" s="60"/>
      <c r="U217" s="60">
        <f>50*F217</f>
        <v>67465</v>
      </c>
      <c r="V217" s="61">
        <f>(J217+K217+L217+M217+N217+O217+P217+Q217+R217+S217+T217)*0.0214</f>
        <v>127598.71</v>
      </c>
      <c r="W217" s="62">
        <f>SUM(K217:V217)</f>
        <v>5630044.1100000003</v>
      </c>
      <c r="X217" s="60" t="s">
        <v>17</v>
      </c>
      <c r="Y217" s="59">
        <v>0</v>
      </c>
      <c r="Z217" s="59">
        <v>0</v>
      </c>
      <c r="AA217" s="59">
        <v>0</v>
      </c>
      <c r="AB217" s="56">
        <f t="shared" si="177"/>
        <v>5630044.1100000003</v>
      </c>
    </row>
    <row r="218" spans="1:39" s="31" customFormat="1" ht="52.5" customHeight="1" x14ac:dyDescent="0.35">
      <c r="A218" s="31">
        <v>2018</v>
      </c>
      <c r="B218" s="53">
        <f>IF(OR(E218=0,E218=""),"",COUNTA($E$21:E218))</f>
        <v>180</v>
      </c>
      <c r="C218" s="53" t="s">
        <v>464</v>
      </c>
      <c r="D218" s="58" t="s">
        <v>757</v>
      </c>
      <c r="E218" s="59">
        <v>1962</v>
      </c>
      <c r="F218" s="60">
        <v>707.2</v>
      </c>
      <c r="G218" s="60">
        <v>635.70000000000005</v>
      </c>
      <c r="H218" s="60">
        <v>0</v>
      </c>
      <c r="I218" s="60" t="s">
        <v>35</v>
      </c>
      <c r="J218" s="60">
        <f t="shared" ref="J218:J219" si="242">431*F218</f>
        <v>304803.20000000001</v>
      </c>
      <c r="K218" s="60"/>
      <c r="L218" s="60"/>
      <c r="M218" s="60">
        <f t="shared" ref="M218:M220" si="243">223*F218</f>
        <v>157705.60000000001</v>
      </c>
      <c r="N218" s="60">
        <f t="shared" ref="N218:N219" si="244">134*F218</f>
        <v>94764.800000000003</v>
      </c>
      <c r="O218" s="60"/>
      <c r="P218" s="60"/>
      <c r="Q218" s="60"/>
      <c r="R218" s="60">
        <f t="shared" ref="R218:R220" si="245">1657*F218</f>
        <v>1171830.3999999999</v>
      </c>
      <c r="S218" s="60">
        <f t="shared" ref="S218:S220" si="246">134*F218</f>
        <v>94764.800000000003</v>
      </c>
      <c r="T218" s="60"/>
      <c r="U218" s="60">
        <f t="shared" ref="U218:U220" si="247">50*F218</f>
        <v>35360</v>
      </c>
      <c r="V218" s="60">
        <f t="shared" ref="V218:V220" si="248">(J218+K218+L218+M218+N218+O218+P218+Q218+R218+S218+T218)*0.0214</f>
        <v>39030.79</v>
      </c>
      <c r="W218" s="62">
        <f>SUM(K218:V218)</f>
        <v>1593456.39</v>
      </c>
      <c r="X218" s="60" t="s">
        <v>17</v>
      </c>
      <c r="Y218" s="59">
        <v>0</v>
      </c>
      <c r="Z218" s="59">
        <v>0</v>
      </c>
      <c r="AA218" s="59">
        <v>0</v>
      </c>
      <c r="AB218" s="56">
        <f t="shared" si="177"/>
        <v>1593456.39</v>
      </c>
    </row>
    <row r="219" spans="1:39" s="31" customFormat="1" ht="52.5" customHeight="1" x14ac:dyDescent="0.35">
      <c r="A219" s="31">
        <v>2018</v>
      </c>
      <c r="B219" s="53">
        <f>IF(OR(E219=0,E219=""),"",COUNTA($E$21:E219))</f>
        <v>181</v>
      </c>
      <c r="C219" s="53" t="s">
        <v>462</v>
      </c>
      <c r="D219" s="58" t="s">
        <v>758</v>
      </c>
      <c r="E219" s="59">
        <v>1960</v>
      </c>
      <c r="F219" s="60">
        <v>706.9</v>
      </c>
      <c r="G219" s="60">
        <v>634.9</v>
      </c>
      <c r="H219" s="60">
        <v>0</v>
      </c>
      <c r="I219" s="60" t="s">
        <v>35</v>
      </c>
      <c r="J219" s="60">
        <f t="shared" si="242"/>
        <v>304673.90000000002</v>
      </c>
      <c r="K219" s="60"/>
      <c r="L219" s="60"/>
      <c r="M219" s="60">
        <f t="shared" si="243"/>
        <v>157638.70000000001</v>
      </c>
      <c r="N219" s="60">
        <f t="shared" si="244"/>
        <v>94724.6</v>
      </c>
      <c r="O219" s="60"/>
      <c r="P219" s="60"/>
      <c r="Q219" s="60"/>
      <c r="R219" s="60">
        <f t="shared" si="245"/>
        <v>1171333.3</v>
      </c>
      <c r="S219" s="60">
        <f t="shared" si="246"/>
        <v>94724.6</v>
      </c>
      <c r="T219" s="60"/>
      <c r="U219" s="60">
        <f t="shared" si="247"/>
        <v>35345</v>
      </c>
      <c r="V219" s="60">
        <f t="shared" si="248"/>
        <v>39014.239999999998</v>
      </c>
      <c r="W219" s="62">
        <f>SUM(K219:V219)</f>
        <v>1592780.44</v>
      </c>
      <c r="X219" s="60" t="s">
        <v>17</v>
      </c>
      <c r="Y219" s="59">
        <v>0</v>
      </c>
      <c r="Z219" s="59">
        <v>0</v>
      </c>
      <c r="AA219" s="59">
        <v>0</v>
      </c>
      <c r="AB219" s="56">
        <f t="shared" si="177"/>
        <v>1592780.44</v>
      </c>
    </row>
    <row r="220" spans="1:39" s="31" customFormat="1" ht="52.5" customHeight="1" x14ac:dyDescent="0.35">
      <c r="A220" s="31">
        <v>2018</v>
      </c>
      <c r="B220" s="53">
        <f>IF(OR(E220=0,E220=""),"",COUNTA($E$21:E220))</f>
        <v>182</v>
      </c>
      <c r="C220" s="53" t="s">
        <v>458</v>
      </c>
      <c r="D220" s="58" t="s">
        <v>759</v>
      </c>
      <c r="E220" s="59">
        <v>1969</v>
      </c>
      <c r="F220" s="60">
        <v>463.7</v>
      </c>
      <c r="G220" s="60">
        <v>387.4</v>
      </c>
      <c r="H220" s="60">
        <v>0</v>
      </c>
      <c r="I220" s="60" t="s">
        <v>35</v>
      </c>
      <c r="J220" s="60"/>
      <c r="K220" s="60">
        <f>500*F220</f>
        <v>231850</v>
      </c>
      <c r="L220" s="60"/>
      <c r="M220" s="60">
        <f t="shared" si="243"/>
        <v>103405.1</v>
      </c>
      <c r="N220" s="60"/>
      <c r="O220" s="60"/>
      <c r="P220" s="60">
        <f t="shared" ref="P220" si="249">2013*F220</f>
        <v>933428.1</v>
      </c>
      <c r="Q220" s="60"/>
      <c r="R220" s="60">
        <f t="shared" si="245"/>
        <v>768350.9</v>
      </c>
      <c r="S220" s="60">
        <f t="shared" si="246"/>
        <v>62135.8</v>
      </c>
      <c r="T220" s="60"/>
      <c r="U220" s="60">
        <f t="shared" si="247"/>
        <v>23185</v>
      </c>
      <c r="V220" s="60">
        <f t="shared" si="248"/>
        <v>44922.239999999998</v>
      </c>
      <c r="W220" s="62">
        <f>SUM(K220:V220)</f>
        <v>2167277.14</v>
      </c>
      <c r="X220" s="60" t="s">
        <v>17</v>
      </c>
      <c r="Y220" s="59">
        <v>0</v>
      </c>
      <c r="Z220" s="59">
        <v>0</v>
      </c>
      <c r="AA220" s="59">
        <v>0</v>
      </c>
      <c r="AB220" s="56">
        <f t="shared" si="177"/>
        <v>2167277.14</v>
      </c>
    </row>
    <row r="221" spans="1:39" s="31" customFormat="1" ht="52.5" customHeight="1" x14ac:dyDescent="0.35">
      <c r="A221" s="31">
        <v>2018</v>
      </c>
      <c r="B221" s="53" t="str">
        <f>IF(OR(E221=0,E221=""),"",COUNTA($E$21:E221))</f>
        <v/>
      </c>
      <c r="C221" s="53"/>
      <c r="D221" s="58"/>
      <c r="E221" s="59"/>
      <c r="F221" s="54">
        <f>SUM(F216:F220)</f>
        <v>5036.8</v>
      </c>
      <c r="G221" s="54">
        <f>SUM(G216:G220)</f>
        <v>4090.6</v>
      </c>
      <c r="H221" s="54">
        <f>SUM(H216:H220)</f>
        <v>0</v>
      </c>
      <c r="I221" s="54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54">
        <f>SUM(W216:W220)</f>
        <v>14626484.18</v>
      </c>
      <c r="X221" s="60"/>
      <c r="Y221" s="52">
        <v>0</v>
      </c>
      <c r="Z221" s="52">
        <v>0</v>
      </c>
      <c r="AA221" s="52">
        <v>0</v>
      </c>
      <c r="AB221" s="56">
        <f t="shared" si="177"/>
        <v>14626484.18</v>
      </c>
    </row>
    <row r="222" spans="1:39" s="31" customFormat="1" ht="52.5" customHeight="1" x14ac:dyDescent="0.35">
      <c r="A222" s="31">
        <v>2018</v>
      </c>
      <c r="B222" s="53" t="str">
        <f>IF(OR(E222=0,E222=""),"",COUNTA($E$21:E222))</f>
        <v/>
      </c>
      <c r="C222" s="53"/>
      <c r="D222" s="57" t="s">
        <v>43</v>
      </c>
      <c r="E222" s="59"/>
      <c r="F222" s="60"/>
      <c r="G222" s="60"/>
      <c r="H222" s="60"/>
      <c r="I222" s="54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2"/>
      <c r="X222" s="60"/>
      <c r="Y222" s="53"/>
      <c r="Z222" s="53"/>
      <c r="AA222" s="53"/>
      <c r="AB222" s="56"/>
    </row>
    <row r="223" spans="1:39" s="31" customFormat="1" ht="52.5" customHeight="1" x14ac:dyDescent="0.35">
      <c r="A223" s="31">
        <v>2018</v>
      </c>
      <c r="B223" s="53">
        <f>IF(OR(E223=0,E223=""),"",COUNTA($E$21:E223))</f>
        <v>183</v>
      </c>
      <c r="C223" s="53" t="s">
        <v>184</v>
      </c>
      <c r="D223" s="58" t="s">
        <v>760</v>
      </c>
      <c r="E223" s="59">
        <v>1960</v>
      </c>
      <c r="F223" s="60">
        <v>505</v>
      </c>
      <c r="G223" s="60">
        <v>407.7</v>
      </c>
      <c r="H223" s="60">
        <v>66.099999999999994</v>
      </c>
      <c r="I223" s="60" t="s">
        <v>35</v>
      </c>
      <c r="J223" s="60"/>
      <c r="K223" s="60"/>
      <c r="L223" s="60"/>
      <c r="M223" s="60">
        <f>223*F223</f>
        <v>112615</v>
      </c>
      <c r="N223" s="60"/>
      <c r="O223" s="60"/>
      <c r="P223" s="60">
        <f>2013*F223</f>
        <v>1016565</v>
      </c>
      <c r="Q223" s="60">
        <f>191*F223</f>
        <v>96455</v>
      </c>
      <c r="R223" s="60">
        <f>1657*F223</f>
        <v>836785</v>
      </c>
      <c r="S223" s="60">
        <f>134*F223</f>
        <v>67670</v>
      </c>
      <c r="T223" s="60"/>
      <c r="U223" s="60">
        <f>50*F223</f>
        <v>25250</v>
      </c>
      <c r="V223" s="60">
        <f>(J223+K223+L223+M223+N223+O223+P223+Q223+R223+S223+T223)*0.0214</f>
        <v>45583.93</v>
      </c>
      <c r="W223" s="62">
        <f>SUM(K223:V223)</f>
        <v>2200923.9300000002</v>
      </c>
      <c r="X223" s="60" t="s">
        <v>17</v>
      </c>
      <c r="Y223" s="53">
        <v>0</v>
      </c>
      <c r="Z223" s="53">
        <v>0</v>
      </c>
      <c r="AA223" s="53">
        <v>0</v>
      </c>
      <c r="AB223" s="56">
        <f t="shared" si="177"/>
        <v>2200923.9300000002</v>
      </c>
    </row>
    <row r="224" spans="1:39" s="31" customFormat="1" ht="52.5" customHeight="1" x14ac:dyDescent="0.35">
      <c r="A224" s="31">
        <v>2018</v>
      </c>
      <c r="B224" s="53" t="str">
        <f>IF(OR(E224=0,E224=""),"",COUNTA($E$21:E224))</f>
        <v/>
      </c>
      <c r="C224" s="53"/>
      <c r="D224" s="58"/>
      <c r="E224" s="59"/>
      <c r="F224" s="54">
        <f>SUM(F223)</f>
        <v>505</v>
      </c>
      <c r="G224" s="54">
        <f>SUM(G223)</f>
        <v>407.7</v>
      </c>
      <c r="H224" s="54">
        <f>SUM(H223)</f>
        <v>66.099999999999994</v>
      </c>
      <c r="I224" s="54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54">
        <f>SUM(W223)</f>
        <v>2200923.9300000002</v>
      </c>
      <c r="X224" s="60"/>
      <c r="Y224" s="52">
        <v>0</v>
      </c>
      <c r="Z224" s="52">
        <v>0</v>
      </c>
      <c r="AA224" s="52">
        <v>0</v>
      </c>
      <c r="AB224" s="56">
        <f t="shared" si="177"/>
        <v>2200923.9300000002</v>
      </c>
    </row>
    <row r="225" spans="1:39" s="31" customFormat="1" ht="52.5" customHeight="1" x14ac:dyDescent="0.35">
      <c r="A225" s="31">
        <v>2018</v>
      </c>
      <c r="B225" s="53" t="str">
        <f>IF(OR(E225=0,E225=""),"",COUNTA($E$21:E225))</f>
        <v/>
      </c>
      <c r="C225" s="53"/>
      <c r="D225" s="57" t="s">
        <v>1067</v>
      </c>
      <c r="E225" s="59"/>
      <c r="F225" s="54"/>
      <c r="G225" s="54"/>
      <c r="H225" s="54"/>
      <c r="I225" s="54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54"/>
      <c r="X225" s="60"/>
      <c r="Y225" s="53"/>
      <c r="Z225" s="53"/>
      <c r="AA225" s="53"/>
      <c r="AB225" s="56"/>
    </row>
    <row r="226" spans="1:39" s="31" customFormat="1" ht="52.5" customHeight="1" x14ac:dyDescent="0.35">
      <c r="A226" s="31">
        <v>2018</v>
      </c>
      <c r="B226" s="53">
        <f>IF(OR(E226=0,E226=""),"",COUNTA($E$21:E226))</f>
        <v>184</v>
      </c>
      <c r="C226" s="53" t="s">
        <v>501</v>
      </c>
      <c r="D226" s="58" t="s">
        <v>761</v>
      </c>
      <c r="E226" s="59">
        <v>1954</v>
      </c>
      <c r="F226" s="60">
        <v>344</v>
      </c>
      <c r="G226" s="60">
        <v>199</v>
      </c>
      <c r="H226" s="60">
        <v>145</v>
      </c>
      <c r="I226" s="60" t="s">
        <v>35</v>
      </c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>
        <f t="shared" ref="U226" si="250">50*F226</f>
        <v>17200</v>
      </c>
      <c r="V226" s="60"/>
      <c r="W226" s="62">
        <f>SUM(K226:V226)</f>
        <v>17200</v>
      </c>
      <c r="X226" s="60" t="s">
        <v>17</v>
      </c>
      <c r="Y226" s="53">
        <v>0</v>
      </c>
      <c r="Z226" s="53">
        <v>0</v>
      </c>
      <c r="AA226" s="53">
        <v>0</v>
      </c>
      <c r="AB226" s="56">
        <f t="shared" si="177"/>
        <v>17200</v>
      </c>
    </row>
    <row r="227" spans="1:39" s="31" customFormat="1" ht="52.5" customHeight="1" x14ac:dyDescent="0.35">
      <c r="A227" s="31">
        <v>2018</v>
      </c>
      <c r="B227" s="53" t="str">
        <f>IF(OR(E227=0,E227=""),"",COUNTA($E$21:E227))</f>
        <v/>
      </c>
      <c r="C227" s="53"/>
      <c r="D227" s="58"/>
      <c r="E227" s="59"/>
      <c r="F227" s="54">
        <f>SUM(F226:F226)</f>
        <v>344</v>
      </c>
      <c r="G227" s="54">
        <f>SUM(G226:G226)</f>
        <v>199</v>
      </c>
      <c r="H227" s="54">
        <f>SUM(H226:H226)</f>
        <v>145</v>
      </c>
      <c r="I227" s="54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54">
        <f>SUM(W226:W226)</f>
        <v>17200</v>
      </c>
      <c r="X227" s="60"/>
      <c r="Y227" s="52">
        <v>0</v>
      </c>
      <c r="Z227" s="52">
        <v>0</v>
      </c>
      <c r="AA227" s="52">
        <v>0</v>
      </c>
      <c r="AB227" s="56">
        <f t="shared" si="177"/>
        <v>17200</v>
      </c>
    </row>
    <row r="228" spans="1:39" s="31" customFormat="1" ht="52.5" customHeight="1" x14ac:dyDescent="0.35">
      <c r="A228" s="31">
        <v>2018</v>
      </c>
      <c r="B228" s="53" t="str">
        <f>IF(OR(E228=0,E228=""),"",COUNTA($E$21:E228))</f>
        <v/>
      </c>
      <c r="C228" s="53"/>
      <c r="D228" s="57" t="s">
        <v>762</v>
      </c>
      <c r="E228" s="58"/>
      <c r="F228" s="54"/>
      <c r="G228" s="60"/>
      <c r="H228" s="54"/>
      <c r="I228" s="54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59"/>
      <c r="Z228" s="59"/>
      <c r="AA228" s="59"/>
      <c r="AB228" s="56"/>
    </row>
    <row r="229" spans="1:39" s="31" customFormat="1" ht="52.5" customHeight="1" x14ac:dyDescent="0.35">
      <c r="A229" s="31">
        <v>2018</v>
      </c>
      <c r="B229" s="53">
        <f>IF(OR(E229=0,E229=""),"",COUNTA($E$21:E229))</f>
        <v>185</v>
      </c>
      <c r="C229" s="53" t="s">
        <v>490</v>
      </c>
      <c r="D229" s="58" t="s">
        <v>763</v>
      </c>
      <c r="E229" s="59">
        <v>1980</v>
      </c>
      <c r="F229" s="60">
        <v>9108.5</v>
      </c>
      <c r="G229" s="60">
        <v>6073.2</v>
      </c>
      <c r="H229" s="60">
        <v>100.5</v>
      </c>
      <c r="I229" s="60" t="s">
        <v>38</v>
      </c>
      <c r="J229" s="60"/>
      <c r="K229" s="60"/>
      <c r="L229" s="60"/>
      <c r="M229" s="60"/>
      <c r="N229" s="60"/>
      <c r="O229" s="60">
        <f>1220*F229</f>
        <v>11112370</v>
      </c>
      <c r="P229" s="60"/>
      <c r="Q229" s="60"/>
      <c r="R229" s="60"/>
      <c r="S229" s="60"/>
      <c r="T229" s="60"/>
      <c r="U229" s="60"/>
      <c r="V229" s="60"/>
      <c r="W229" s="62">
        <f t="shared" ref="W229:W238" si="251">V229+U229+T229+S229+R229+Q229+P229+O229+N229+M229+L229+K229+J229</f>
        <v>11112370</v>
      </c>
      <c r="X229" s="60" t="s">
        <v>17</v>
      </c>
      <c r="Y229" s="59">
        <v>0</v>
      </c>
      <c r="Z229" s="59">
        <v>0</v>
      </c>
      <c r="AA229" s="59">
        <v>0</v>
      </c>
      <c r="AB229" s="56">
        <f t="shared" si="177"/>
        <v>11112370</v>
      </c>
    </row>
    <row r="230" spans="1:39" s="31" customFormat="1" ht="52.5" customHeight="1" x14ac:dyDescent="0.35">
      <c r="A230" s="31">
        <v>2018</v>
      </c>
      <c r="B230" s="53">
        <f>IF(OR(E230=0,E230=""),"",COUNTA($E$21:E230))</f>
        <v>186</v>
      </c>
      <c r="C230" s="53" t="s">
        <v>489</v>
      </c>
      <c r="D230" s="58" t="s">
        <v>764</v>
      </c>
      <c r="E230" s="59">
        <v>1979</v>
      </c>
      <c r="F230" s="60">
        <v>8724.1</v>
      </c>
      <c r="G230" s="60">
        <v>6220.8</v>
      </c>
      <c r="H230" s="60">
        <v>0</v>
      </c>
      <c r="I230" s="60" t="s">
        <v>38</v>
      </c>
      <c r="J230" s="60"/>
      <c r="K230" s="60"/>
      <c r="L230" s="60"/>
      <c r="M230" s="60"/>
      <c r="N230" s="60"/>
      <c r="O230" s="60">
        <f>1220*F230</f>
        <v>10643402</v>
      </c>
      <c r="P230" s="60"/>
      <c r="Q230" s="60"/>
      <c r="R230" s="60"/>
      <c r="S230" s="60"/>
      <c r="T230" s="60"/>
      <c r="U230" s="60"/>
      <c r="V230" s="60"/>
      <c r="W230" s="62">
        <f t="shared" si="251"/>
        <v>10643402</v>
      </c>
      <c r="X230" s="60" t="s">
        <v>17</v>
      </c>
      <c r="Y230" s="59">
        <v>0</v>
      </c>
      <c r="Z230" s="59">
        <v>0</v>
      </c>
      <c r="AA230" s="59">
        <v>0</v>
      </c>
      <c r="AB230" s="56">
        <f t="shared" si="177"/>
        <v>10643402</v>
      </c>
    </row>
    <row r="231" spans="1:39" s="38" customFormat="1" ht="52.5" customHeight="1" x14ac:dyDescent="0.35">
      <c r="A231" s="31">
        <v>2018</v>
      </c>
      <c r="B231" s="53">
        <f>IF(OR(E231=0,E231=""),"",COUNTA($E$21:E231))</f>
        <v>187</v>
      </c>
      <c r="C231" s="53" t="s">
        <v>491</v>
      </c>
      <c r="D231" s="58" t="s">
        <v>765</v>
      </c>
      <c r="E231" s="59">
        <v>1986</v>
      </c>
      <c r="F231" s="60">
        <v>9474.7000000000007</v>
      </c>
      <c r="G231" s="60">
        <v>6631.2</v>
      </c>
      <c r="H231" s="60">
        <v>319</v>
      </c>
      <c r="I231" s="60" t="s">
        <v>31</v>
      </c>
      <c r="J231" s="60"/>
      <c r="K231" s="60"/>
      <c r="L231" s="60"/>
      <c r="M231" s="60"/>
      <c r="N231" s="60"/>
      <c r="O231" s="60">
        <v>2150000</v>
      </c>
      <c r="P231" s="60"/>
      <c r="Q231" s="60"/>
      <c r="R231" s="60"/>
      <c r="S231" s="60"/>
      <c r="T231" s="60"/>
      <c r="U231" s="60">
        <f t="shared" ref="U231:U237" si="252">13*F231</f>
        <v>123171.1</v>
      </c>
      <c r="V231" s="60">
        <f t="shared" ref="V231:V237" si="253">(J231+K231+L231+M231+N231+O231+P231+Q231+R231+S231+T231)*0.0214</f>
        <v>46010</v>
      </c>
      <c r="W231" s="62">
        <f t="shared" si="251"/>
        <v>2319181.1</v>
      </c>
      <c r="X231" s="60" t="s">
        <v>17</v>
      </c>
      <c r="Y231" s="59">
        <v>0</v>
      </c>
      <c r="Z231" s="59">
        <v>0</v>
      </c>
      <c r="AA231" s="59">
        <v>0</v>
      </c>
      <c r="AB231" s="56">
        <f t="shared" si="177"/>
        <v>2319181.1</v>
      </c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</row>
    <row r="232" spans="1:39" s="38" customFormat="1" ht="52.5" customHeight="1" x14ac:dyDescent="0.35">
      <c r="A232" s="31">
        <v>2018</v>
      </c>
      <c r="B232" s="53">
        <f>IF(OR(E232=0,E232=""),"",COUNTA($E$21:E232))</f>
        <v>188</v>
      </c>
      <c r="C232" s="53" t="s">
        <v>492</v>
      </c>
      <c r="D232" s="58" t="s">
        <v>766</v>
      </c>
      <c r="E232" s="59">
        <v>1986</v>
      </c>
      <c r="F232" s="60">
        <v>9406.9</v>
      </c>
      <c r="G232" s="60">
        <v>6599.4</v>
      </c>
      <c r="H232" s="60">
        <v>50</v>
      </c>
      <c r="I232" s="60" t="s">
        <v>31</v>
      </c>
      <c r="J232" s="60"/>
      <c r="K232" s="60"/>
      <c r="L232" s="60"/>
      <c r="M232" s="60"/>
      <c r="N232" s="60"/>
      <c r="O232" s="60">
        <v>2150000</v>
      </c>
      <c r="P232" s="60"/>
      <c r="Q232" s="60"/>
      <c r="R232" s="60"/>
      <c r="S232" s="60"/>
      <c r="T232" s="60"/>
      <c r="U232" s="60">
        <f t="shared" si="252"/>
        <v>122289.7</v>
      </c>
      <c r="V232" s="60">
        <f t="shared" si="253"/>
        <v>46010</v>
      </c>
      <c r="W232" s="62">
        <f t="shared" si="251"/>
        <v>2318299.7000000002</v>
      </c>
      <c r="X232" s="60" t="s">
        <v>17</v>
      </c>
      <c r="Y232" s="59">
        <v>0</v>
      </c>
      <c r="Z232" s="59">
        <v>0</v>
      </c>
      <c r="AA232" s="59">
        <v>0</v>
      </c>
      <c r="AB232" s="56">
        <f t="shared" si="177"/>
        <v>2318299.7000000002</v>
      </c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</row>
    <row r="233" spans="1:39" s="38" customFormat="1" ht="52.5" customHeight="1" x14ac:dyDescent="0.35">
      <c r="A233" s="31">
        <v>2018</v>
      </c>
      <c r="B233" s="53">
        <f>IF(OR(E233=0,E233=""),"",COUNTA($E$21:E233))</f>
        <v>189</v>
      </c>
      <c r="C233" s="53" t="s">
        <v>484</v>
      </c>
      <c r="D233" s="58" t="s">
        <v>767</v>
      </c>
      <c r="E233" s="59">
        <v>1988</v>
      </c>
      <c r="F233" s="60">
        <v>7837.2</v>
      </c>
      <c r="G233" s="60">
        <v>5135.7</v>
      </c>
      <c r="H233" s="60">
        <v>0</v>
      </c>
      <c r="I233" s="60" t="s">
        <v>31</v>
      </c>
      <c r="J233" s="60"/>
      <c r="K233" s="60"/>
      <c r="L233" s="60"/>
      <c r="M233" s="60"/>
      <c r="N233" s="60"/>
      <c r="O233" s="60">
        <v>4300000</v>
      </c>
      <c r="P233" s="60"/>
      <c r="Q233" s="60"/>
      <c r="R233" s="60"/>
      <c r="S233" s="60"/>
      <c r="T233" s="60"/>
      <c r="U233" s="60">
        <f t="shared" si="252"/>
        <v>101883.6</v>
      </c>
      <c r="V233" s="60">
        <f t="shared" si="253"/>
        <v>92020</v>
      </c>
      <c r="W233" s="62">
        <f t="shared" si="251"/>
        <v>4493903.5999999996</v>
      </c>
      <c r="X233" s="60" t="s">
        <v>17</v>
      </c>
      <c r="Y233" s="59">
        <v>0</v>
      </c>
      <c r="Z233" s="59">
        <v>0</v>
      </c>
      <c r="AA233" s="59">
        <v>0</v>
      </c>
      <c r="AB233" s="56">
        <f t="shared" si="177"/>
        <v>4493903.5999999996</v>
      </c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</row>
    <row r="234" spans="1:39" s="38" customFormat="1" ht="52.5" customHeight="1" x14ac:dyDescent="0.35">
      <c r="A234" s="31">
        <v>2018</v>
      </c>
      <c r="B234" s="53">
        <f>IF(OR(E234=0,E234=""),"",COUNTA($E$21:E234))</f>
        <v>190</v>
      </c>
      <c r="C234" s="53" t="s">
        <v>486</v>
      </c>
      <c r="D234" s="58" t="s">
        <v>768</v>
      </c>
      <c r="E234" s="59">
        <v>1988</v>
      </c>
      <c r="F234" s="60">
        <v>8130</v>
      </c>
      <c r="G234" s="60">
        <v>5232.2</v>
      </c>
      <c r="H234" s="60">
        <v>0</v>
      </c>
      <c r="I234" s="60" t="s">
        <v>31</v>
      </c>
      <c r="J234" s="60"/>
      <c r="K234" s="60"/>
      <c r="L234" s="60"/>
      <c r="M234" s="60"/>
      <c r="N234" s="60"/>
      <c r="O234" s="60">
        <v>4300000</v>
      </c>
      <c r="P234" s="60"/>
      <c r="Q234" s="60"/>
      <c r="R234" s="60"/>
      <c r="S234" s="60"/>
      <c r="T234" s="60"/>
      <c r="U234" s="60">
        <f t="shared" si="252"/>
        <v>105690</v>
      </c>
      <c r="V234" s="60">
        <f t="shared" si="253"/>
        <v>92020</v>
      </c>
      <c r="W234" s="62">
        <f t="shared" si="251"/>
        <v>4497710</v>
      </c>
      <c r="X234" s="60" t="s">
        <v>17</v>
      </c>
      <c r="Y234" s="59">
        <v>0</v>
      </c>
      <c r="Z234" s="59">
        <v>0</v>
      </c>
      <c r="AA234" s="59">
        <v>0</v>
      </c>
      <c r="AB234" s="56">
        <f t="shared" si="177"/>
        <v>4497710</v>
      </c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</row>
    <row r="235" spans="1:39" s="38" customFormat="1" ht="52.5" customHeight="1" x14ac:dyDescent="0.35">
      <c r="A235" s="31">
        <v>2018</v>
      </c>
      <c r="B235" s="53">
        <f>IF(OR(E235=0,E235=""),"",COUNTA($E$21:E235))</f>
        <v>191</v>
      </c>
      <c r="C235" s="53" t="s">
        <v>487</v>
      </c>
      <c r="D235" s="58" t="s">
        <v>769</v>
      </c>
      <c r="E235" s="59">
        <v>1988</v>
      </c>
      <c r="F235" s="60">
        <v>8388.2000000000007</v>
      </c>
      <c r="G235" s="60">
        <v>5669.4</v>
      </c>
      <c r="H235" s="60">
        <v>0</v>
      </c>
      <c r="I235" s="60" t="s">
        <v>31</v>
      </c>
      <c r="J235" s="60"/>
      <c r="K235" s="60"/>
      <c r="L235" s="60"/>
      <c r="M235" s="60"/>
      <c r="N235" s="60"/>
      <c r="O235" s="60">
        <v>4300000</v>
      </c>
      <c r="P235" s="60"/>
      <c r="Q235" s="60"/>
      <c r="R235" s="60"/>
      <c r="S235" s="60"/>
      <c r="T235" s="60"/>
      <c r="U235" s="60">
        <f t="shared" si="252"/>
        <v>109046.6</v>
      </c>
      <c r="V235" s="60">
        <f t="shared" si="253"/>
        <v>92020</v>
      </c>
      <c r="W235" s="62">
        <f t="shared" si="251"/>
        <v>4501066.5999999996</v>
      </c>
      <c r="X235" s="60" t="s">
        <v>17</v>
      </c>
      <c r="Y235" s="59">
        <v>0</v>
      </c>
      <c r="Z235" s="59">
        <v>0</v>
      </c>
      <c r="AA235" s="59">
        <v>0</v>
      </c>
      <c r="AB235" s="56">
        <f t="shared" si="177"/>
        <v>4501066.5999999996</v>
      </c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</row>
    <row r="236" spans="1:39" s="38" customFormat="1" ht="52.5" customHeight="1" x14ac:dyDescent="0.35">
      <c r="A236" s="31">
        <v>2018</v>
      </c>
      <c r="B236" s="53">
        <f>IF(OR(E236=0,E236=""),"",COUNTA($E$21:E236))</f>
        <v>192</v>
      </c>
      <c r="C236" s="53" t="s">
        <v>488</v>
      </c>
      <c r="D236" s="58" t="s">
        <v>770</v>
      </c>
      <c r="E236" s="59">
        <v>1990</v>
      </c>
      <c r="F236" s="60">
        <v>7131</v>
      </c>
      <c r="G236" s="60">
        <v>5283</v>
      </c>
      <c r="H236" s="60">
        <v>0</v>
      </c>
      <c r="I236" s="60" t="s">
        <v>31</v>
      </c>
      <c r="J236" s="60"/>
      <c r="K236" s="60"/>
      <c r="L236" s="60"/>
      <c r="M236" s="60"/>
      <c r="N236" s="60"/>
      <c r="O236" s="60">
        <v>4300000</v>
      </c>
      <c r="P236" s="60"/>
      <c r="Q236" s="60"/>
      <c r="R236" s="60"/>
      <c r="S236" s="60"/>
      <c r="T236" s="60"/>
      <c r="U236" s="60">
        <f t="shared" si="252"/>
        <v>92703</v>
      </c>
      <c r="V236" s="60">
        <f t="shared" si="253"/>
        <v>92020</v>
      </c>
      <c r="W236" s="62">
        <f t="shared" si="251"/>
        <v>4484723</v>
      </c>
      <c r="X236" s="60" t="s">
        <v>17</v>
      </c>
      <c r="Y236" s="59">
        <v>0</v>
      </c>
      <c r="Z236" s="59">
        <v>0</v>
      </c>
      <c r="AA236" s="59">
        <v>0</v>
      </c>
      <c r="AB236" s="56">
        <f t="shared" si="177"/>
        <v>4484723</v>
      </c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</row>
    <row r="237" spans="1:39" s="38" customFormat="1" ht="52.5" customHeight="1" x14ac:dyDescent="0.35">
      <c r="A237" s="31">
        <v>2018</v>
      </c>
      <c r="B237" s="53">
        <f>IF(OR(E237=0,E237=""),"",COUNTA($E$21:E237))</f>
        <v>193</v>
      </c>
      <c r="C237" s="53" t="s">
        <v>482</v>
      </c>
      <c r="D237" s="58" t="s">
        <v>771</v>
      </c>
      <c r="E237" s="59">
        <v>1987</v>
      </c>
      <c r="F237" s="60">
        <v>12571.6</v>
      </c>
      <c r="G237" s="60">
        <v>9177.5</v>
      </c>
      <c r="H237" s="60">
        <v>0</v>
      </c>
      <c r="I237" s="60" t="s">
        <v>31</v>
      </c>
      <c r="J237" s="60"/>
      <c r="K237" s="60"/>
      <c r="L237" s="60"/>
      <c r="M237" s="60"/>
      <c r="N237" s="60"/>
      <c r="O237" s="60">
        <v>2150000</v>
      </c>
      <c r="P237" s="60"/>
      <c r="Q237" s="60"/>
      <c r="R237" s="60"/>
      <c r="S237" s="60"/>
      <c r="T237" s="60"/>
      <c r="U237" s="60">
        <f t="shared" si="252"/>
        <v>163430.79999999999</v>
      </c>
      <c r="V237" s="60">
        <f t="shared" si="253"/>
        <v>46010</v>
      </c>
      <c r="W237" s="62">
        <f t="shared" si="251"/>
        <v>2359440.7999999998</v>
      </c>
      <c r="X237" s="60" t="s">
        <v>17</v>
      </c>
      <c r="Y237" s="59">
        <v>0</v>
      </c>
      <c r="Z237" s="59">
        <v>0</v>
      </c>
      <c r="AA237" s="59">
        <v>0</v>
      </c>
      <c r="AB237" s="56">
        <f t="shared" si="177"/>
        <v>2359440.7999999998</v>
      </c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</row>
    <row r="238" spans="1:39" s="31" customFormat="1" ht="52.5" customHeight="1" x14ac:dyDescent="0.35">
      <c r="A238" s="31">
        <v>2018</v>
      </c>
      <c r="B238" s="53">
        <f>IF(OR(E238=0,E238=""),"",COUNTA($E$21:E238))</f>
        <v>194</v>
      </c>
      <c r="C238" s="53" t="s">
        <v>474</v>
      </c>
      <c r="D238" s="58" t="s">
        <v>772</v>
      </c>
      <c r="E238" s="59">
        <v>1972</v>
      </c>
      <c r="F238" s="60">
        <v>5299</v>
      </c>
      <c r="G238" s="60">
        <v>3845</v>
      </c>
      <c r="H238" s="60">
        <v>0</v>
      </c>
      <c r="I238" s="60" t="s">
        <v>33</v>
      </c>
      <c r="J238" s="60">
        <v>1523274.5</v>
      </c>
      <c r="K238" s="60">
        <f>815*F238</f>
        <v>4318685</v>
      </c>
      <c r="L238" s="60"/>
      <c r="M238" s="60">
        <f>326*F238</f>
        <v>1727474</v>
      </c>
      <c r="N238" s="60">
        <f>194*F238</f>
        <v>1028006</v>
      </c>
      <c r="O238" s="60"/>
      <c r="P238" s="60">
        <v>2495866.42</v>
      </c>
      <c r="Q238" s="60">
        <f>133*F238</f>
        <v>704767</v>
      </c>
      <c r="R238" s="60">
        <f>1525*F238</f>
        <v>8080975</v>
      </c>
      <c r="S238" s="60">
        <f>171*F238</f>
        <v>906129</v>
      </c>
      <c r="T238" s="60"/>
      <c r="U238" s="60">
        <f>50*F238</f>
        <v>264950</v>
      </c>
      <c r="V238" s="61">
        <f>(J238+K238+L238+M238+N238+O238+P238+Q238+R238+S238+T238)*0.0214</f>
        <v>444802.79</v>
      </c>
      <c r="W238" s="62">
        <f t="shared" si="251"/>
        <v>21494929.710000001</v>
      </c>
      <c r="X238" s="60" t="s">
        <v>17</v>
      </c>
      <c r="Y238" s="59">
        <v>0</v>
      </c>
      <c r="Z238" s="59">
        <v>0</v>
      </c>
      <c r="AA238" s="59">
        <v>0</v>
      </c>
      <c r="AB238" s="56">
        <f t="shared" si="177"/>
        <v>21494929.710000001</v>
      </c>
    </row>
    <row r="239" spans="1:39" s="31" customFormat="1" ht="52.5" customHeight="1" x14ac:dyDescent="0.35">
      <c r="A239" s="31">
        <v>2018</v>
      </c>
      <c r="B239" s="53" t="str">
        <f>IF(OR(E239=0,E239=""),"",COUNTA($E$21:E239))</f>
        <v/>
      </c>
      <c r="C239" s="53"/>
      <c r="D239" s="58"/>
      <c r="E239" s="59"/>
      <c r="F239" s="54">
        <f>SUM(F229:F238)</f>
        <v>86071.2</v>
      </c>
      <c r="G239" s="54">
        <f>SUM(G229:G238)</f>
        <v>59867.4</v>
      </c>
      <c r="H239" s="54">
        <f>SUM(H229:H238)</f>
        <v>469.5</v>
      </c>
      <c r="I239" s="54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54">
        <f>SUM(W229:W238)</f>
        <v>68225026.510000005</v>
      </c>
      <c r="X239" s="60"/>
      <c r="Y239" s="52">
        <v>0</v>
      </c>
      <c r="Z239" s="52">
        <v>0</v>
      </c>
      <c r="AA239" s="52">
        <v>0</v>
      </c>
      <c r="AB239" s="54">
        <f t="shared" ref="AB239" si="254">W239-(Y239+Z239+AA239)</f>
        <v>68225026.510000005</v>
      </c>
    </row>
    <row r="240" spans="1:39" s="31" customFormat="1" ht="52.5" customHeight="1" x14ac:dyDescent="0.35">
      <c r="A240" s="31">
        <v>2018</v>
      </c>
      <c r="B240" s="53" t="str">
        <f>IF(OR(E240=0,E240=""),"",COUNTA($E$21:E240))</f>
        <v/>
      </c>
      <c r="C240" s="53"/>
      <c r="D240" s="57" t="s">
        <v>1073</v>
      </c>
      <c r="E240" s="58"/>
      <c r="F240" s="54"/>
      <c r="G240" s="60"/>
      <c r="H240" s="54"/>
      <c r="I240" s="54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59"/>
      <c r="Z240" s="59"/>
      <c r="AA240" s="59"/>
      <c r="AB240" s="54"/>
    </row>
    <row r="241" spans="1:28" s="31" customFormat="1" ht="52.5" customHeight="1" x14ac:dyDescent="0.35">
      <c r="A241" s="31">
        <v>2018</v>
      </c>
      <c r="B241" s="53">
        <f>IF(OR(E241=0,E241=""),"",COUNTA($E$21:E241))</f>
        <v>195</v>
      </c>
      <c r="C241" s="53" t="s">
        <v>502</v>
      </c>
      <c r="D241" s="58" t="s">
        <v>773</v>
      </c>
      <c r="E241" s="59">
        <v>1938</v>
      </c>
      <c r="F241" s="60">
        <v>514.1</v>
      </c>
      <c r="G241" s="60">
        <v>494.4</v>
      </c>
      <c r="H241" s="59">
        <v>19.7</v>
      </c>
      <c r="I241" s="60" t="s">
        <v>35</v>
      </c>
      <c r="J241" s="60"/>
      <c r="K241" s="60"/>
      <c r="L241" s="60"/>
      <c r="M241" s="60"/>
      <c r="N241" s="60"/>
      <c r="O241" s="60"/>
      <c r="P241" s="60">
        <f t="shared" ref="P241:P242" si="255">2013*F241</f>
        <v>1034883.3</v>
      </c>
      <c r="Q241" s="60"/>
      <c r="R241" s="60">
        <f t="shared" ref="R241:R242" si="256">1657*F241</f>
        <v>851863.7</v>
      </c>
      <c r="S241" s="60"/>
      <c r="T241" s="60"/>
      <c r="U241" s="60">
        <f t="shared" ref="U241:U242" si="257">50*F241</f>
        <v>25705</v>
      </c>
      <c r="V241" s="60">
        <f t="shared" ref="V241:V242" si="258">(J241+K241+L241+M241+N241+O241+P241+Q241+R241+S241+T241)*0.0214</f>
        <v>40376.39</v>
      </c>
      <c r="W241" s="62">
        <f t="shared" ref="W241:W245" si="259">V241+U241+T241+S241+R241+Q241+P241+O241+N241+M241+L241+K241+J241</f>
        <v>1952828.39</v>
      </c>
      <c r="X241" s="60" t="s">
        <v>17</v>
      </c>
      <c r="Y241" s="59">
        <v>0</v>
      </c>
      <c r="Z241" s="59">
        <v>0</v>
      </c>
      <c r="AA241" s="59">
        <v>0</v>
      </c>
      <c r="AB241" s="54">
        <f t="shared" ref="AB241:AB246" si="260">W241-(Y241+Z241+AA241)</f>
        <v>1952828.39</v>
      </c>
    </row>
    <row r="242" spans="1:28" s="31" customFormat="1" ht="52.5" customHeight="1" x14ac:dyDescent="0.35">
      <c r="A242" s="31">
        <v>2018</v>
      </c>
      <c r="B242" s="53">
        <f>IF(OR(E242=0,E242=""),"",COUNTA($E$21:E242))</f>
        <v>196</v>
      </c>
      <c r="C242" s="53" t="s">
        <v>507</v>
      </c>
      <c r="D242" s="58" t="s">
        <v>774</v>
      </c>
      <c r="E242" s="59">
        <v>1954</v>
      </c>
      <c r="F242" s="60">
        <v>467.2</v>
      </c>
      <c r="G242" s="60">
        <v>415.5</v>
      </c>
      <c r="H242" s="59">
        <v>51.7</v>
      </c>
      <c r="I242" s="60" t="s">
        <v>35</v>
      </c>
      <c r="J242" s="60"/>
      <c r="K242" s="60"/>
      <c r="L242" s="60"/>
      <c r="M242" s="60"/>
      <c r="N242" s="60"/>
      <c r="O242" s="60"/>
      <c r="P242" s="60">
        <f t="shared" si="255"/>
        <v>940473.6</v>
      </c>
      <c r="Q242" s="60"/>
      <c r="R242" s="60">
        <f t="shared" si="256"/>
        <v>774150.4</v>
      </c>
      <c r="S242" s="60"/>
      <c r="T242" s="60"/>
      <c r="U242" s="60">
        <f t="shared" si="257"/>
        <v>23360</v>
      </c>
      <c r="V242" s="60">
        <f t="shared" si="258"/>
        <v>36692.949999999997</v>
      </c>
      <c r="W242" s="62">
        <f t="shared" si="259"/>
        <v>1774676.95</v>
      </c>
      <c r="X242" s="60" t="s">
        <v>17</v>
      </c>
      <c r="Y242" s="59">
        <v>0</v>
      </c>
      <c r="Z242" s="59">
        <v>0</v>
      </c>
      <c r="AA242" s="59">
        <v>0</v>
      </c>
      <c r="AB242" s="54">
        <f t="shared" si="260"/>
        <v>1774676.95</v>
      </c>
    </row>
    <row r="243" spans="1:28" s="31" customFormat="1" ht="52.5" customHeight="1" x14ac:dyDescent="0.35">
      <c r="A243" s="31">
        <v>2018</v>
      </c>
      <c r="B243" s="53">
        <f>IF(OR(E243=0,E243=""),"",COUNTA($E$21:E243))</f>
        <v>197</v>
      </c>
      <c r="C243" s="53" t="s">
        <v>505</v>
      </c>
      <c r="D243" s="58" t="s">
        <v>775</v>
      </c>
      <c r="E243" s="59">
        <v>1910</v>
      </c>
      <c r="F243" s="60">
        <v>1784.2</v>
      </c>
      <c r="G243" s="60">
        <v>812.7</v>
      </c>
      <c r="H243" s="59">
        <v>971.5</v>
      </c>
      <c r="I243" s="60" t="s">
        <v>30</v>
      </c>
      <c r="J243" s="60">
        <f>405*F243</f>
        <v>722601</v>
      </c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>
        <f>850*F243</f>
        <v>1516570</v>
      </c>
      <c r="V243" s="60">
        <f t="shared" ref="V243:V245" si="261">(J243+K243+L243+M243+N243+O243+P243+Q243+R243+S243+T243)*0.0214</f>
        <v>15463.66</v>
      </c>
      <c r="W243" s="62">
        <f t="shared" si="259"/>
        <v>2254634.66</v>
      </c>
      <c r="X243" s="60" t="s">
        <v>17</v>
      </c>
      <c r="Y243" s="52">
        <v>0</v>
      </c>
      <c r="Z243" s="52">
        <v>0</v>
      </c>
      <c r="AA243" s="52">
        <v>0</v>
      </c>
      <c r="AB243" s="56">
        <f t="shared" si="260"/>
        <v>2254634.66</v>
      </c>
    </row>
    <row r="244" spans="1:28" s="31" customFormat="1" ht="52.5" customHeight="1" x14ac:dyDescent="0.35">
      <c r="A244" s="31">
        <v>2018</v>
      </c>
      <c r="B244" s="53">
        <f>IF(OR(E244=0,E244=""),"",COUNTA($E$21:E244))</f>
        <v>198</v>
      </c>
      <c r="C244" s="53" t="s">
        <v>508</v>
      </c>
      <c r="D244" s="58" t="s">
        <v>776</v>
      </c>
      <c r="E244" s="59">
        <v>1954</v>
      </c>
      <c r="F244" s="60">
        <v>473.5</v>
      </c>
      <c r="G244" s="60">
        <v>398.4</v>
      </c>
      <c r="H244" s="59">
        <v>75.099999999999994</v>
      </c>
      <c r="I244" s="60" t="s">
        <v>35</v>
      </c>
      <c r="J244" s="60"/>
      <c r="K244" s="60"/>
      <c r="L244" s="60"/>
      <c r="M244" s="60"/>
      <c r="N244" s="60"/>
      <c r="O244" s="60"/>
      <c r="P244" s="60">
        <f t="shared" ref="P244:P245" si="262">2013*F244</f>
        <v>953155.5</v>
      </c>
      <c r="Q244" s="60"/>
      <c r="R244" s="60">
        <f t="shared" ref="R244:R245" si="263">1657*F244</f>
        <v>784589.5</v>
      </c>
      <c r="S244" s="60"/>
      <c r="T244" s="60"/>
      <c r="U244" s="60">
        <f t="shared" ref="U244:U245" si="264">50*F244</f>
        <v>23675</v>
      </c>
      <c r="V244" s="60">
        <f t="shared" si="261"/>
        <v>37187.74</v>
      </c>
      <c r="W244" s="62">
        <f t="shared" si="259"/>
        <v>1798607.74</v>
      </c>
      <c r="X244" s="60" t="s">
        <v>17</v>
      </c>
      <c r="Y244" s="59">
        <v>0</v>
      </c>
      <c r="Z244" s="59">
        <v>0</v>
      </c>
      <c r="AA244" s="59">
        <v>0</v>
      </c>
      <c r="AB244" s="54">
        <f t="shared" si="260"/>
        <v>1798607.74</v>
      </c>
    </row>
    <row r="245" spans="1:28" s="31" customFormat="1" ht="52.5" customHeight="1" x14ac:dyDescent="0.35">
      <c r="A245" s="31">
        <v>2018</v>
      </c>
      <c r="B245" s="53">
        <f>IF(OR(E245=0,E245=""),"",COUNTA($E$21:E245))</f>
        <v>199</v>
      </c>
      <c r="C245" s="53" t="s">
        <v>509</v>
      </c>
      <c r="D245" s="58" t="s">
        <v>777</v>
      </c>
      <c r="E245" s="59">
        <v>1957</v>
      </c>
      <c r="F245" s="60">
        <v>998</v>
      </c>
      <c r="G245" s="60">
        <v>702.3</v>
      </c>
      <c r="H245" s="60">
        <v>0</v>
      </c>
      <c r="I245" s="60" t="s">
        <v>35</v>
      </c>
      <c r="J245" s="60">
        <f>431*F245</f>
        <v>430138</v>
      </c>
      <c r="K245" s="60"/>
      <c r="L245" s="60"/>
      <c r="M245" s="60">
        <f>223*F245</f>
        <v>222554</v>
      </c>
      <c r="N245" s="60"/>
      <c r="O245" s="60"/>
      <c r="P245" s="60">
        <f t="shared" si="262"/>
        <v>2008974</v>
      </c>
      <c r="Q245" s="60">
        <f>191*F245</f>
        <v>190618</v>
      </c>
      <c r="R245" s="60">
        <f t="shared" si="263"/>
        <v>1653686</v>
      </c>
      <c r="S245" s="60">
        <f>134*F245</f>
        <v>133732</v>
      </c>
      <c r="T245" s="60"/>
      <c r="U245" s="60">
        <f t="shared" si="264"/>
        <v>49900</v>
      </c>
      <c r="V245" s="60">
        <f t="shared" si="261"/>
        <v>99289.62</v>
      </c>
      <c r="W245" s="62">
        <f t="shared" si="259"/>
        <v>4788891.62</v>
      </c>
      <c r="X245" s="60" t="s">
        <v>17</v>
      </c>
      <c r="Y245" s="59">
        <v>0</v>
      </c>
      <c r="Z245" s="59">
        <v>0</v>
      </c>
      <c r="AA245" s="59">
        <v>0</v>
      </c>
      <c r="AB245" s="54">
        <f t="shared" si="260"/>
        <v>4788891.62</v>
      </c>
    </row>
    <row r="246" spans="1:28" s="31" customFormat="1" ht="52.5" customHeight="1" x14ac:dyDescent="0.35">
      <c r="A246" s="31">
        <v>2018</v>
      </c>
      <c r="B246" s="53" t="str">
        <f>IF(OR(E246=0,E246=""),"",COUNTA($E$21:E246))</f>
        <v/>
      </c>
      <c r="C246" s="53"/>
      <c r="D246" s="58"/>
      <c r="E246" s="59"/>
      <c r="F246" s="54">
        <f>SUM(F241:F245)</f>
        <v>4237</v>
      </c>
      <c r="G246" s="54">
        <f>SUM(G241:G245)</f>
        <v>2823.3</v>
      </c>
      <c r="H246" s="54">
        <f>SUM(H241:H245)</f>
        <v>1118</v>
      </c>
      <c r="I246" s="54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54">
        <f>SUM(W241:W245)</f>
        <v>12569639.359999999</v>
      </c>
      <c r="X246" s="60"/>
      <c r="Y246" s="52">
        <v>0</v>
      </c>
      <c r="Z246" s="52">
        <v>0</v>
      </c>
      <c r="AA246" s="52">
        <v>0</v>
      </c>
      <c r="AB246" s="54">
        <f t="shared" si="260"/>
        <v>12569639.359999999</v>
      </c>
    </row>
    <row r="247" spans="1:28" s="31" customFormat="1" ht="52.5" customHeight="1" x14ac:dyDescent="0.35">
      <c r="A247" s="31">
        <v>2018</v>
      </c>
      <c r="B247" s="53" t="str">
        <f>IF(OR(E247=0,E247=""),"",COUNTA($E$21:E247))</f>
        <v/>
      </c>
      <c r="C247" s="53"/>
      <c r="D247" s="57" t="s">
        <v>50</v>
      </c>
      <c r="E247" s="59"/>
      <c r="F247" s="54"/>
      <c r="G247" s="54"/>
      <c r="H247" s="54"/>
      <c r="I247" s="54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56"/>
      <c r="X247" s="60"/>
      <c r="Y247" s="53"/>
      <c r="Z247" s="53"/>
      <c r="AA247" s="53"/>
      <c r="AB247" s="54"/>
    </row>
    <row r="248" spans="1:28" s="31" customFormat="1" ht="52.5" customHeight="1" x14ac:dyDescent="0.35">
      <c r="A248" s="31">
        <v>2018</v>
      </c>
      <c r="B248" s="53">
        <f>IF(OR(E248=0,E248=""),"",COUNTA($E$21:E248))</f>
        <v>200</v>
      </c>
      <c r="C248" s="53" t="s">
        <v>511</v>
      </c>
      <c r="D248" s="58" t="s">
        <v>778</v>
      </c>
      <c r="E248" s="59">
        <v>1931</v>
      </c>
      <c r="F248" s="60">
        <v>464.3</v>
      </c>
      <c r="G248" s="60">
        <v>335</v>
      </c>
      <c r="H248" s="60">
        <v>0</v>
      </c>
      <c r="I248" s="60" t="s">
        <v>35</v>
      </c>
      <c r="J248" s="60">
        <f>431*F248</f>
        <v>200113.3</v>
      </c>
      <c r="K248" s="60">
        <f>500*F248</f>
        <v>232150</v>
      </c>
      <c r="L248" s="60"/>
      <c r="M248" s="60">
        <f>223*F248</f>
        <v>103538.9</v>
      </c>
      <c r="N248" s="60">
        <f>134*F248</f>
        <v>62216.2</v>
      </c>
      <c r="O248" s="60"/>
      <c r="P248" s="60">
        <f>2013*F248</f>
        <v>934635.9</v>
      </c>
      <c r="Q248" s="60">
        <f t="shared" ref="Q248:Q249" si="265">191*F248</f>
        <v>88681.3</v>
      </c>
      <c r="R248" s="60">
        <f t="shared" ref="R248:R249" si="266">1657*F248</f>
        <v>769345.1</v>
      </c>
      <c r="S248" s="60">
        <f t="shared" ref="S248:S249" si="267">134*F248</f>
        <v>62216.2</v>
      </c>
      <c r="T248" s="60"/>
      <c r="U248" s="60">
        <f t="shared" ref="U248:U249" si="268">50*F248</f>
        <v>23215</v>
      </c>
      <c r="V248" s="60">
        <f t="shared" ref="V248:V249" si="269">(J248+K248+L248+M248+N248+O248+P248+Q248+R248+S248+T248)*0.0214</f>
        <v>52491.99</v>
      </c>
      <c r="W248" s="62">
        <f>V248+U248+T248+S248+R248+Q248+P248+O248+N248+M248+L248+K248+J248</f>
        <v>2528603.89</v>
      </c>
      <c r="X248" s="60" t="s">
        <v>17</v>
      </c>
      <c r="Y248" s="52">
        <v>0</v>
      </c>
      <c r="Z248" s="52">
        <v>0</v>
      </c>
      <c r="AA248" s="52">
        <v>0</v>
      </c>
      <c r="AB248" s="56">
        <f>W248-(Y248+Z248+AA248)</f>
        <v>2528603.89</v>
      </c>
    </row>
    <row r="249" spans="1:28" s="42" customFormat="1" ht="52.5" customHeight="1" x14ac:dyDescent="0.25">
      <c r="A249" s="42">
        <v>2018</v>
      </c>
      <c r="B249" s="53">
        <f>IF(OR(E249=0,E249=""),"",COUNTA($E$21:E249))</f>
        <v>201</v>
      </c>
      <c r="C249" s="53" t="s">
        <v>510</v>
      </c>
      <c r="D249" s="58" t="s">
        <v>779</v>
      </c>
      <c r="E249" s="59">
        <v>1991</v>
      </c>
      <c r="F249" s="63">
        <v>1357.4</v>
      </c>
      <c r="G249" s="63">
        <v>344</v>
      </c>
      <c r="H249" s="60">
        <v>0</v>
      </c>
      <c r="I249" s="60" t="s">
        <v>35</v>
      </c>
      <c r="J249" s="66"/>
      <c r="K249" s="60"/>
      <c r="L249" s="60"/>
      <c r="M249" s="60"/>
      <c r="N249" s="60"/>
      <c r="O249" s="60"/>
      <c r="P249" s="60"/>
      <c r="Q249" s="60">
        <f t="shared" si="265"/>
        <v>259263.4</v>
      </c>
      <c r="R249" s="60">
        <f t="shared" si="266"/>
        <v>2249211.7999999998</v>
      </c>
      <c r="S249" s="60">
        <f t="shared" si="267"/>
        <v>181891.6</v>
      </c>
      <c r="T249" s="60"/>
      <c r="U249" s="60">
        <f t="shared" si="268"/>
        <v>67870</v>
      </c>
      <c r="V249" s="60">
        <f t="shared" si="269"/>
        <v>57573.85</v>
      </c>
      <c r="W249" s="62">
        <f>V249+U249+T249+S249+R249+Q249+P249+O249+N249+M249+L249+K249+J249</f>
        <v>2815810.65</v>
      </c>
      <c r="X249" s="60" t="s">
        <v>17</v>
      </c>
      <c r="Y249" s="52">
        <v>0</v>
      </c>
      <c r="Z249" s="52">
        <v>0</v>
      </c>
      <c r="AA249" s="52">
        <v>0</v>
      </c>
      <c r="AB249" s="56">
        <f>W249-(Y249+Z249+AA249)</f>
        <v>2815810.65</v>
      </c>
    </row>
    <row r="250" spans="1:28" s="31" customFormat="1" ht="52.5" customHeight="1" x14ac:dyDescent="0.35">
      <c r="A250" s="31">
        <v>2018</v>
      </c>
      <c r="B250" s="53" t="str">
        <f>IF(OR(E250=0,E250=""),"",COUNTA($E$21:E250))</f>
        <v/>
      </c>
      <c r="C250" s="53"/>
      <c r="D250" s="58"/>
      <c r="E250" s="59"/>
      <c r="F250" s="54">
        <f>SUM(F248:F249)</f>
        <v>1821.7</v>
      </c>
      <c r="G250" s="54">
        <f>SUM(G248:G249)</f>
        <v>679</v>
      </c>
      <c r="H250" s="54">
        <f>SUM(H248:H249)</f>
        <v>0</v>
      </c>
      <c r="I250" s="54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54">
        <f>SUM(W248:W249)</f>
        <v>5344414.54</v>
      </c>
      <c r="X250" s="60"/>
      <c r="Y250" s="52">
        <v>0</v>
      </c>
      <c r="Z250" s="52">
        <v>0</v>
      </c>
      <c r="AA250" s="52">
        <v>0</v>
      </c>
      <c r="AB250" s="54">
        <f>W250-(Y250+Z250+AA250)</f>
        <v>5344414.54</v>
      </c>
    </row>
    <row r="251" spans="1:28" s="31" customFormat="1" ht="52.5" customHeight="1" x14ac:dyDescent="0.35">
      <c r="A251" s="31">
        <v>2018</v>
      </c>
      <c r="B251" s="53" t="str">
        <f>IF(OR(E251=0,E251=""),"",COUNTA($E$21:E251))</f>
        <v/>
      </c>
      <c r="C251" s="53"/>
      <c r="D251" s="57" t="s">
        <v>41</v>
      </c>
      <c r="E251" s="58"/>
      <c r="F251" s="54"/>
      <c r="G251" s="60"/>
      <c r="H251" s="54"/>
      <c r="I251" s="54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59"/>
      <c r="Z251" s="59"/>
      <c r="AA251" s="59"/>
      <c r="AB251" s="54"/>
    </row>
    <row r="252" spans="1:28" s="31" customFormat="1" ht="52.5" customHeight="1" x14ac:dyDescent="0.35">
      <c r="A252" s="31">
        <v>2018</v>
      </c>
      <c r="B252" s="53">
        <f>IF(OR(E252=0,E252=""),"",COUNTA($E$21:E252))</f>
        <v>202</v>
      </c>
      <c r="C252" s="53" t="s">
        <v>515</v>
      </c>
      <c r="D252" s="58" t="s">
        <v>780</v>
      </c>
      <c r="E252" s="59">
        <v>1962</v>
      </c>
      <c r="F252" s="60">
        <v>1776.7</v>
      </c>
      <c r="G252" s="60">
        <v>1119.3</v>
      </c>
      <c r="H252" s="60">
        <v>657.4</v>
      </c>
      <c r="I252" s="60" t="s">
        <v>34</v>
      </c>
      <c r="J252" s="60"/>
      <c r="K252" s="60"/>
      <c r="L252" s="60"/>
      <c r="M252" s="60"/>
      <c r="N252" s="60"/>
      <c r="O252" s="60"/>
      <c r="P252" s="60">
        <f>2013*F252</f>
        <v>3576497.1</v>
      </c>
      <c r="Q252" s="60">
        <f>191*F252</f>
        <v>339349.7</v>
      </c>
      <c r="R252" s="60">
        <f>1657*F252</f>
        <v>2943991.9</v>
      </c>
      <c r="S252" s="60">
        <f>134*F252</f>
        <v>238077.8</v>
      </c>
      <c r="T252" s="60"/>
      <c r="U252" s="60">
        <f>50*F252</f>
        <v>88835</v>
      </c>
      <c r="V252" s="60">
        <f>(J252+K252+L252+M252+N252+O252+P252+Q252+R252+S252+T252)*0.0214</f>
        <v>151895.41</v>
      </c>
      <c r="W252" s="62">
        <f>V252+U252+T252+S252+R252+Q252+P252+O252+N252+M252+L252+K252+J252</f>
        <v>7338646.9100000001</v>
      </c>
      <c r="X252" s="60" t="s">
        <v>17</v>
      </c>
      <c r="Y252" s="59">
        <v>0</v>
      </c>
      <c r="Z252" s="59">
        <v>0</v>
      </c>
      <c r="AA252" s="59">
        <v>0</v>
      </c>
      <c r="AB252" s="54">
        <f>W252-(Y252+Z252+AA252)</f>
        <v>7338646.9100000001</v>
      </c>
    </row>
    <row r="253" spans="1:28" s="31" customFormat="1" ht="52.5" customHeight="1" x14ac:dyDescent="0.35">
      <c r="A253" s="31">
        <v>2018</v>
      </c>
      <c r="B253" s="53" t="str">
        <f>IF(OR(E253=0,E253=""),"",COUNTA($E$21:E253))</f>
        <v/>
      </c>
      <c r="C253" s="53"/>
      <c r="D253" s="58"/>
      <c r="E253" s="59"/>
      <c r="F253" s="54">
        <f>SUM(F252:F252)</f>
        <v>1776.7</v>
      </c>
      <c r="G253" s="54">
        <f>SUM(G252:G252)</f>
        <v>1119.3</v>
      </c>
      <c r="H253" s="54">
        <f>SUM(H252:H252)</f>
        <v>657.4</v>
      </c>
      <c r="I253" s="54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54">
        <f>SUM(W252:W252)</f>
        <v>7338646.9100000001</v>
      </c>
      <c r="X253" s="60"/>
      <c r="Y253" s="52">
        <v>0</v>
      </c>
      <c r="Z253" s="52">
        <v>0</v>
      </c>
      <c r="AA253" s="52">
        <v>0</v>
      </c>
      <c r="AB253" s="54">
        <f>W253-(Y253+Z253+AA253)</f>
        <v>7338646.9100000001</v>
      </c>
    </row>
    <row r="254" spans="1:28" s="31" customFormat="1" ht="52.5" customHeight="1" x14ac:dyDescent="0.35">
      <c r="A254" s="31">
        <v>2018</v>
      </c>
      <c r="B254" s="53" t="str">
        <f>IF(OR(E254=0,E254=""),"",COUNTA($E$21:E254))</f>
        <v/>
      </c>
      <c r="C254" s="53"/>
      <c r="D254" s="57" t="s">
        <v>22</v>
      </c>
      <c r="E254" s="59"/>
      <c r="F254" s="54"/>
      <c r="G254" s="54"/>
      <c r="H254" s="54"/>
      <c r="I254" s="54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1"/>
      <c r="W254" s="56"/>
      <c r="X254" s="63"/>
      <c r="Y254" s="63"/>
      <c r="Z254" s="63"/>
      <c r="AA254" s="63"/>
      <c r="AB254" s="56"/>
    </row>
    <row r="255" spans="1:28" s="31" customFormat="1" ht="52.5" customHeight="1" x14ac:dyDescent="0.35">
      <c r="A255" s="31">
        <v>2018</v>
      </c>
      <c r="B255" s="53">
        <f>IF(OR(E255=0,E255=""),"",COUNTA($E$21:E255))</f>
        <v>203</v>
      </c>
      <c r="C255" s="53" t="s">
        <v>518</v>
      </c>
      <c r="D255" s="58" t="s">
        <v>781</v>
      </c>
      <c r="E255" s="59">
        <v>1963</v>
      </c>
      <c r="F255" s="60">
        <v>685.2</v>
      </c>
      <c r="G255" s="60">
        <v>632.9</v>
      </c>
      <c r="H255" s="60">
        <v>0</v>
      </c>
      <c r="I255" s="60" t="s">
        <v>35</v>
      </c>
      <c r="J255" s="60">
        <f>431*F255</f>
        <v>295321.2</v>
      </c>
      <c r="K255" s="60"/>
      <c r="L255" s="60"/>
      <c r="M255" s="60">
        <f>223*F255</f>
        <v>152799.6</v>
      </c>
      <c r="N255" s="60">
        <f>F255*134</f>
        <v>91816.8</v>
      </c>
      <c r="O255" s="60"/>
      <c r="P255" s="60">
        <f>2013*F255</f>
        <v>1379307.6</v>
      </c>
      <c r="Q255" s="60">
        <f>191*F255</f>
        <v>130873.2</v>
      </c>
      <c r="R255" s="60">
        <f>1657*F255</f>
        <v>1135376.3999999999</v>
      </c>
      <c r="S255" s="60">
        <f>134*F255</f>
        <v>91816.8</v>
      </c>
      <c r="T255" s="60"/>
      <c r="U255" s="60">
        <f>50*F255</f>
        <v>34260</v>
      </c>
      <c r="V255" s="60">
        <f>(J255+K255+L255+M255+N255+O255+P255+Q255+R255+S255+T255)*0.0214</f>
        <v>70134.47</v>
      </c>
      <c r="W255" s="62">
        <f>V255+U255+T255+S255+R255+Q255+P255+O255+N255+M255+L255+K255+J255</f>
        <v>3381706.07</v>
      </c>
      <c r="X255" s="60" t="s">
        <v>17</v>
      </c>
      <c r="Y255" s="63">
        <v>0</v>
      </c>
      <c r="Z255" s="63">
        <v>0</v>
      </c>
      <c r="AA255" s="63">
        <v>0</v>
      </c>
      <c r="AB255" s="56">
        <f>W255-(Y255+Z255+AA255)</f>
        <v>3381706.07</v>
      </c>
    </row>
    <row r="256" spans="1:28" s="31" customFormat="1" ht="52.5" customHeight="1" x14ac:dyDescent="0.35">
      <c r="A256" s="31">
        <v>2018</v>
      </c>
      <c r="B256" s="53" t="str">
        <f>IF(OR(E256=0,E256=""),"",COUNTA($E$21:E256))</f>
        <v/>
      </c>
      <c r="C256" s="53"/>
      <c r="D256" s="58"/>
      <c r="E256" s="59"/>
      <c r="F256" s="54">
        <f>SUM(F255)</f>
        <v>685.2</v>
      </c>
      <c r="G256" s="54">
        <f>SUM(G255)</f>
        <v>632.9</v>
      </c>
      <c r="H256" s="54">
        <f>SUM(H255)</f>
        <v>0</v>
      </c>
      <c r="I256" s="54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1"/>
      <c r="W256" s="54">
        <f>SUM(W255)</f>
        <v>3381706.07</v>
      </c>
      <c r="X256" s="63"/>
      <c r="Y256" s="52">
        <v>0</v>
      </c>
      <c r="Z256" s="52">
        <v>0</v>
      </c>
      <c r="AA256" s="52">
        <v>0</v>
      </c>
      <c r="AB256" s="54">
        <f>W256-(Y256+Z256+AA256)</f>
        <v>3381706.07</v>
      </c>
    </row>
    <row r="257" spans="1:28" s="31" customFormat="1" ht="52.5" customHeight="1" x14ac:dyDescent="0.35">
      <c r="A257" s="31">
        <v>2018</v>
      </c>
      <c r="B257" s="53" t="str">
        <f>IF(OR(E257=0,E257=""),"",COUNTA($E$21:E257))</f>
        <v/>
      </c>
      <c r="C257" s="53"/>
      <c r="D257" s="57" t="s">
        <v>1074</v>
      </c>
      <c r="E257" s="57"/>
      <c r="F257" s="54"/>
      <c r="G257" s="54"/>
      <c r="H257" s="54"/>
      <c r="I257" s="54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59"/>
      <c r="Z257" s="59"/>
      <c r="AA257" s="59"/>
      <c r="AB257" s="54"/>
    </row>
    <row r="258" spans="1:28" s="31" customFormat="1" ht="52.5" customHeight="1" x14ac:dyDescent="0.35">
      <c r="A258" s="31">
        <v>2018</v>
      </c>
      <c r="B258" s="53">
        <f>IF(OR(E258=0,E258=""),"",COUNTA($E$21:E258))</f>
        <v>204</v>
      </c>
      <c r="C258" s="53" t="s">
        <v>535</v>
      </c>
      <c r="D258" s="58" t="s">
        <v>782</v>
      </c>
      <c r="E258" s="59">
        <v>1981</v>
      </c>
      <c r="F258" s="60">
        <v>1406</v>
      </c>
      <c r="G258" s="60">
        <v>380.8</v>
      </c>
      <c r="H258" s="60">
        <v>0</v>
      </c>
      <c r="I258" s="60" t="s">
        <v>35</v>
      </c>
      <c r="J258" s="60"/>
      <c r="K258" s="60"/>
      <c r="L258" s="60"/>
      <c r="M258" s="60"/>
      <c r="N258" s="60"/>
      <c r="O258" s="60"/>
      <c r="P258" s="60">
        <f t="shared" ref="P258:P261" si="270">2013*F258</f>
        <v>2830278</v>
      </c>
      <c r="Q258" s="60"/>
      <c r="R258" s="60"/>
      <c r="S258" s="60"/>
      <c r="T258" s="60"/>
      <c r="U258" s="60"/>
      <c r="V258" s="60"/>
      <c r="W258" s="62">
        <f t="shared" ref="W258:W262" si="271">V258+U258+T258+S258+R258+Q258+P258+O258+N258+M258+L258+K258+J258</f>
        <v>2830278</v>
      </c>
      <c r="X258" s="60" t="s">
        <v>17</v>
      </c>
      <c r="Y258" s="63">
        <v>0</v>
      </c>
      <c r="Z258" s="63">
        <v>0</v>
      </c>
      <c r="AA258" s="63">
        <v>0</v>
      </c>
      <c r="AB258" s="56">
        <f t="shared" ref="AB258:AB263" si="272">W258-(Y258+Z258+AA258)</f>
        <v>2830278</v>
      </c>
    </row>
    <row r="259" spans="1:28" s="31" customFormat="1" ht="52.5" customHeight="1" x14ac:dyDescent="0.35">
      <c r="A259" s="31">
        <v>2018</v>
      </c>
      <c r="B259" s="53">
        <f>IF(OR(E259=0,E259=""),"",COUNTA($E$21:E259))</f>
        <v>205</v>
      </c>
      <c r="C259" s="53" t="s">
        <v>533</v>
      </c>
      <c r="D259" s="58" t="s">
        <v>783</v>
      </c>
      <c r="E259" s="59">
        <v>1985</v>
      </c>
      <c r="F259" s="59">
        <v>1790.9</v>
      </c>
      <c r="G259" s="60">
        <v>1016.7</v>
      </c>
      <c r="H259" s="60">
        <v>0</v>
      </c>
      <c r="I259" s="60" t="s">
        <v>34</v>
      </c>
      <c r="J259" s="60"/>
      <c r="K259" s="60"/>
      <c r="L259" s="60"/>
      <c r="M259" s="60"/>
      <c r="N259" s="60"/>
      <c r="O259" s="60"/>
      <c r="P259" s="60">
        <f t="shared" si="270"/>
        <v>3605081.7</v>
      </c>
      <c r="Q259" s="60"/>
      <c r="R259" s="60"/>
      <c r="S259" s="60"/>
      <c r="T259" s="60"/>
      <c r="U259" s="60">
        <f t="shared" ref="U259:U261" si="273">50*F259</f>
        <v>89545</v>
      </c>
      <c r="V259" s="60">
        <f t="shared" ref="V259:V261" si="274">(J259+K259+L259+M259+N259+O259+P259+Q259+R259+S259+T259)*0.0214</f>
        <v>77148.75</v>
      </c>
      <c r="W259" s="62">
        <f t="shared" si="271"/>
        <v>3771775.45</v>
      </c>
      <c r="X259" s="60" t="s">
        <v>17</v>
      </c>
      <c r="Y259" s="63">
        <v>0</v>
      </c>
      <c r="Z259" s="63">
        <v>0</v>
      </c>
      <c r="AA259" s="63">
        <v>0</v>
      </c>
      <c r="AB259" s="56">
        <f t="shared" si="272"/>
        <v>3771775.45</v>
      </c>
    </row>
    <row r="260" spans="1:28" s="31" customFormat="1" ht="52.5" customHeight="1" x14ac:dyDescent="0.35">
      <c r="A260" s="31">
        <v>2018</v>
      </c>
      <c r="B260" s="53">
        <f>IF(OR(E260=0,E260=""),"",COUNTA($E$21:E260))</f>
        <v>206</v>
      </c>
      <c r="C260" s="53" t="s">
        <v>527</v>
      </c>
      <c r="D260" s="58" t="s">
        <v>784</v>
      </c>
      <c r="E260" s="59">
        <v>1981</v>
      </c>
      <c r="F260" s="60">
        <v>743.3</v>
      </c>
      <c r="G260" s="60">
        <v>434.9</v>
      </c>
      <c r="H260" s="60">
        <v>0</v>
      </c>
      <c r="I260" s="60" t="s">
        <v>35</v>
      </c>
      <c r="J260" s="60"/>
      <c r="K260" s="60"/>
      <c r="L260" s="60"/>
      <c r="M260" s="60"/>
      <c r="N260" s="60">
        <f t="shared" ref="N260:N261" si="275">134*F260</f>
        <v>99602.2</v>
      </c>
      <c r="O260" s="60"/>
      <c r="P260" s="60">
        <f t="shared" si="270"/>
        <v>1496262.9</v>
      </c>
      <c r="Q260" s="60"/>
      <c r="R260" s="60"/>
      <c r="S260" s="60"/>
      <c r="T260" s="60"/>
      <c r="U260" s="60">
        <f t="shared" si="273"/>
        <v>37165</v>
      </c>
      <c r="V260" s="60">
        <f t="shared" si="274"/>
        <v>34151.51</v>
      </c>
      <c r="W260" s="62">
        <f t="shared" si="271"/>
        <v>1667181.61</v>
      </c>
      <c r="X260" s="60" t="s">
        <v>17</v>
      </c>
      <c r="Y260" s="63">
        <v>0</v>
      </c>
      <c r="Z260" s="63">
        <v>0</v>
      </c>
      <c r="AA260" s="63">
        <v>0</v>
      </c>
      <c r="AB260" s="56">
        <f t="shared" si="272"/>
        <v>1667181.61</v>
      </c>
    </row>
    <row r="261" spans="1:28" s="31" customFormat="1" ht="52.5" customHeight="1" x14ac:dyDescent="0.35">
      <c r="A261" s="31">
        <v>2018</v>
      </c>
      <c r="B261" s="53">
        <f>IF(OR(E261=0,E261=""),"",COUNTA($E$21:E261))</f>
        <v>207</v>
      </c>
      <c r="C261" s="53" t="s">
        <v>529</v>
      </c>
      <c r="D261" s="58" t="s">
        <v>785</v>
      </c>
      <c r="E261" s="59">
        <v>1986</v>
      </c>
      <c r="F261" s="60">
        <v>1256.3</v>
      </c>
      <c r="G261" s="60">
        <v>477.7</v>
      </c>
      <c r="H261" s="60">
        <v>0</v>
      </c>
      <c r="I261" s="60" t="s">
        <v>35</v>
      </c>
      <c r="J261" s="60"/>
      <c r="K261" s="60"/>
      <c r="L261" s="60"/>
      <c r="M261" s="60"/>
      <c r="N261" s="60">
        <f t="shared" si="275"/>
        <v>168344.2</v>
      </c>
      <c r="O261" s="60"/>
      <c r="P261" s="60">
        <f t="shared" si="270"/>
        <v>2528931.9</v>
      </c>
      <c r="Q261" s="60"/>
      <c r="R261" s="60"/>
      <c r="S261" s="60"/>
      <c r="T261" s="60"/>
      <c r="U261" s="60">
        <f t="shared" si="273"/>
        <v>62815</v>
      </c>
      <c r="V261" s="60">
        <f t="shared" si="274"/>
        <v>57721.71</v>
      </c>
      <c r="W261" s="62">
        <f t="shared" si="271"/>
        <v>2817812.81</v>
      </c>
      <c r="X261" s="60" t="s">
        <v>17</v>
      </c>
      <c r="Y261" s="63">
        <v>0</v>
      </c>
      <c r="Z261" s="63">
        <v>0</v>
      </c>
      <c r="AA261" s="63">
        <v>0</v>
      </c>
      <c r="AB261" s="56">
        <f t="shared" si="272"/>
        <v>2817812.81</v>
      </c>
    </row>
    <row r="262" spans="1:28" s="31" customFormat="1" ht="52.5" customHeight="1" x14ac:dyDescent="0.35">
      <c r="B262" s="53">
        <f>IF(OR(E262=0,E262=""),"",COUNTA($E$21:E262))</f>
        <v>208</v>
      </c>
      <c r="C262" s="53" t="s">
        <v>531</v>
      </c>
      <c r="D262" s="58" t="s">
        <v>786</v>
      </c>
      <c r="E262" s="58">
        <v>1995</v>
      </c>
      <c r="F262" s="60">
        <v>5746.4</v>
      </c>
      <c r="G262" s="60">
        <v>2575</v>
      </c>
      <c r="H262" s="60">
        <v>0</v>
      </c>
      <c r="I262" s="60" t="s">
        <v>33</v>
      </c>
      <c r="J262" s="60"/>
      <c r="K262" s="60"/>
      <c r="L262" s="60"/>
      <c r="M262" s="60"/>
      <c r="N262" s="60"/>
      <c r="O262" s="60"/>
      <c r="P262" s="60">
        <f>1679*F262</f>
        <v>9648205.5999999996</v>
      </c>
      <c r="Q262" s="60"/>
      <c r="R262" s="60"/>
      <c r="S262" s="60"/>
      <c r="T262" s="60"/>
      <c r="U262" s="60"/>
      <c r="V262" s="61"/>
      <c r="W262" s="62">
        <f t="shared" si="271"/>
        <v>9648205.5999999996</v>
      </c>
      <c r="X262" s="60" t="s">
        <v>17</v>
      </c>
      <c r="Y262" s="63">
        <v>0</v>
      </c>
      <c r="Z262" s="63">
        <v>0</v>
      </c>
      <c r="AA262" s="63">
        <v>0</v>
      </c>
      <c r="AB262" s="56">
        <f t="shared" ref="AB262" si="276">W262-(Y262+Z262+AA262)</f>
        <v>9648205.5999999996</v>
      </c>
    </row>
    <row r="263" spans="1:28" s="31" customFormat="1" ht="52.5" customHeight="1" x14ac:dyDescent="0.35">
      <c r="A263" s="31">
        <v>2018</v>
      </c>
      <c r="B263" s="53" t="str">
        <f>IF(OR(E263=0,E263=""),"",COUNTA($E$21:E263))</f>
        <v/>
      </c>
      <c r="C263" s="53"/>
      <c r="D263" s="58"/>
      <c r="E263" s="59"/>
      <c r="F263" s="54">
        <f>SUM(F258:F262)</f>
        <v>10942.9</v>
      </c>
      <c r="G263" s="54">
        <f>SUM(G258:G262)</f>
        <v>4885.1000000000004</v>
      </c>
      <c r="H263" s="54">
        <f>SUM(H258:H262)</f>
        <v>0</v>
      </c>
      <c r="I263" s="54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54">
        <f>SUM(W258:W262)</f>
        <v>20735253.469999999</v>
      </c>
      <c r="X263" s="60"/>
      <c r="Y263" s="52">
        <v>0</v>
      </c>
      <c r="Z263" s="52">
        <v>0</v>
      </c>
      <c r="AA263" s="52">
        <v>0</v>
      </c>
      <c r="AB263" s="54">
        <f t="shared" si="272"/>
        <v>20735253.469999999</v>
      </c>
    </row>
    <row r="264" spans="1:28" s="31" customFormat="1" ht="52.5" customHeight="1" x14ac:dyDescent="0.35">
      <c r="A264" s="31">
        <v>2018</v>
      </c>
      <c r="B264" s="53" t="str">
        <f>IF(OR(E264=0,E264=""),"",COUNTA($E$21:E264))</f>
        <v/>
      </c>
      <c r="C264" s="53"/>
      <c r="D264" s="57" t="s">
        <v>96</v>
      </c>
      <c r="E264" s="59"/>
      <c r="F264" s="54"/>
      <c r="G264" s="54"/>
      <c r="H264" s="54"/>
      <c r="I264" s="54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1"/>
      <c r="W264" s="56"/>
      <c r="X264" s="63"/>
      <c r="Y264" s="63"/>
      <c r="Z264" s="63"/>
      <c r="AA264" s="63"/>
      <c r="AB264" s="56"/>
    </row>
    <row r="265" spans="1:28" s="31" customFormat="1" ht="52.5" customHeight="1" x14ac:dyDescent="0.35">
      <c r="A265" s="31">
        <v>2018</v>
      </c>
      <c r="B265" s="53">
        <f>IF(OR(E265=0,E265=""),"",COUNTA($E$21:E265))</f>
        <v>209</v>
      </c>
      <c r="C265" s="53" t="s">
        <v>521</v>
      </c>
      <c r="D265" s="58" t="s">
        <v>787</v>
      </c>
      <c r="E265" s="59">
        <v>1982</v>
      </c>
      <c r="F265" s="60">
        <v>409.6</v>
      </c>
      <c r="G265" s="60">
        <v>386.2</v>
      </c>
      <c r="H265" s="60">
        <v>23.4</v>
      </c>
      <c r="I265" s="60" t="s">
        <v>35</v>
      </c>
      <c r="J265" s="60">
        <f t="shared" ref="J265" si="277">431*F265</f>
        <v>176537.60000000001</v>
      </c>
      <c r="K265" s="60"/>
      <c r="L265" s="60"/>
      <c r="M265" s="60">
        <f t="shared" ref="M265" si="278">223*F265</f>
        <v>91340.800000000003</v>
      </c>
      <c r="N265" s="60"/>
      <c r="O265" s="60"/>
      <c r="P265" s="60">
        <f t="shared" ref="P265" si="279">2013*F265</f>
        <v>824524.80000000005</v>
      </c>
      <c r="Q265" s="60"/>
      <c r="R265" s="60">
        <f t="shared" ref="R265" si="280">1657*F265</f>
        <v>678707.19999999995</v>
      </c>
      <c r="S265" s="60"/>
      <c r="T265" s="60"/>
      <c r="U265" s="60">
        <f t="shared" ref="U265" si="281">50*F265</f>
        <v>20480</v>
      </c>
      <c r="V265" s="60">
        <f t="shared" ref="V265" si="282">(J265+K265+L265+M265+N265+O265+P265+Q265+R265+S265+T265)*0.0214</f>
        <v>37901.760000000002</v>
      </c>
      <c r="W265" s="62">
        <f>V265+U265+T265+S265+R265+Q265+P265+O265+N265+M265+L265+K265+J265</f>
        <v>1829492.16</v>
      </c>
      <c r="X265" s="60" t="s">
        <v>17</v>
      </c>
      <c r="Y265" s="63">
        <v>0</v>
      </c>
      <c r="Z265" s="63">
        <v>0</v>
      </c>
      <c r="AA265" s="63">
        <v>0</v>
      </c>
      <c r="AB265" s="56">
        <f t="shared" ref="AB265:AB266" si="283">W265-(Y265+Z265+AA265)</f>
        <v>1829492.16</v>
      </c>
    </row>
    <row r="266" spans="1:28" s="31" customFormat="1" ht="52.5" customHeight="1" x14ac:dyDescent="0.35">
      <c r="A266" s="31">
        <v>2018</v>
      </c>
      <c r="B266" s="53" t="str">
        <f>IF(OR(E266=0,E266=""),"",COUNTA($E$21:E266))</f>
        <v/>
      </c>
      <c r="C266" s="53"/>
      <c r="D266" s="58"/>
      <c r="E266" s="59"/>
      <c r="F266" s="54">
        <f>SUM(F265:F265)</f>
        <v>409.6</v>
      </c>
      <c r="G266" s="54">
        <f>SUM(G265:G265)</f>
        <v>386.2</v>
      </c>
      <c r="H266" s="54">
        <f>SUM(H265:H265)</f>
        <v>23.4</v>
      </c>
      <c r="I266" s="54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1"/>
      <c r="W266" s="56">
        <f>SUM(W265:W265)</f>
        <v>1829492.16</v>
      </c>
      <c r="X266" s="63"/>
      <c r="Y266" s="52">
        <v>0</v>
      </c>
      <c r="Z266" s="52">
        <v>0</v>
      </c>
      <c r="AA266" s="52">
        <v>0</v>
      </c>
      <c r="AB266" s="56">
        <f t="shared" si="283"/>
        <v>1829492.16</v>
      </c>
    </row>
    <row r="267" spans="1:28" s="31" customFormat="1" ht="52.5" customHeight="1" x14ac:dyDescent="0.35">
      <c r="A267" s="31">
        <v>2018</v>
      </c>
      <c r="B267" s="53" t="str">
        <f>IF(OR(E267=0,E267=""),"",COUNTA($E$21:E267))</f>
        <v/>
      </c>
      <c r="C267" s="53"/>
      <c r="D267" s="57" t="s">
        <v>21</v>
      </c>
      <c r="E267" s="59"/>
      <c r="F267" s="54"/>
      <c r="G267" s="54"/>
      <c r="H267" s="54"/>
      <c r="I267" s="54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1"/>
      <c r="W267" s="56"/>
      <c r="X267" s="63"/>
      <c r="Y267" s="63"/>
      <c r="Z267" s="63"/>
      <c r="AA267" s="63"/>
      <c r="AB267" s="56"/>
    </row>
    <row r="268" spans="1:28" s="31" customFormat="1" ht="52.5" customHeight="1" x14ac:dyDescent="0.35">
      <c r="A268" s="31">
        <v>2018</v>
      </c>
      <c r="B268" s="53">
        <f>IF(OR(E268=0,E268=""),"",COUNTA($E$21:E268))</f>
        <v>210</v>
      </c>
      <c r="C268" s="53" t="s">
        <v>523</v>
      </c>
      <c r="D268" s="58" t="s">
        <v>788</v>
      </c>
      <c r="E268" s="59">
        <v>1953</v>
      </c>
      <c r="F268" s="60">
        <v>616.6</v>
      </c>
      <c r="G268" s="60">
        <v>585.4</v>
      </c>
      <c r="H268" s="60">
        <v>0</v>
      </c>
      <c r="I268" s="60" t="s">
        <v>35</v>
      </c>
      <c r="J268" s="60">
        <f>431*F268</f>
        <v>265754.59999999998</v>
      </c>
      <c r="K268" s="60"/>
      <c r="L268" s="60"/>
      <c r="M268" s="60"/>
      <c r="N268" s="60"/>
      <c r="O268" s="60"/>
      <c r="P268" s="60">
        <f t="shared" ref="P268:P270" si="284">2013*F268</f>
        <v>1241215.8</v>
      </c>
      <c r="Q268" s="60"/>
      <c r="R268" s="60">
        <f>1657*F268</f>
        <v>1021706.2</v>
      </c>
      <c r="S268" s="60">
        <f>134*F268</f>
        <v>82624.399999999994</v>
      </c>
      <c r="T268" s="60"/>
      <c r="U268" s="60">
        <f t="shared" ref="U268:U270" si="285">50*F268</f>
        <v>30830</v>
      </c>
      <c r="V268" s="60">
        <f t="shared" ref="V268:V270" si="286">(J268+K268+L268+M268+N268+O268+P268+Q268+R268+S268+T268)*0.0214</f>
        <v>55881.84</v>
      </c>
      <c r="W268" s="62">
        <f>V268+U268+T268+S268+R268+Q268+P268+O268+N268+M268+L268+K268+J268</f>
        <v>2698012.84</v>
      </c>
      <c r="X268" s="63" t="s">
        <v>17</v>
      </c>
      <c r="Y268" s="63">
        <v>0</v>
      </c>
      <c r="Z268" s="63">
        <v>0</v>
      </c>
      <c r="AA268" s="63">
        <v>0</v>
      </c>
      <c r="AB268" s="56">
        <f>W268-(Y268+Z268+AA268)</f>
        <v>2698012.84</v>
      </c>
    </row>
    <row r="269" spans="1:28" s="31" customFormat="1" ht="52.5" customHeight="1" x14ac:dyDescent="0.35">
      <c r="A269" s="31">
        <v>2018</v>
      </c>
      <c r="B269" s="53">
        <f>IF(OR(E269=0,E269=""),"",COUNTA($E$21:E269))</f>
        <v>211</v>
      </c>
      <c r="C269" s="53" t="s">
        <v>524</v>
      </c>
      <c r="D269" s="58" t="s">
        <v>789</v>
      </c>
      <c r="E269" s="59">
        <v>1976</v>
      </c>
      <c r="F269" s="60">
        <v>1591.8</v>
      </c>
      <c r="G269" s="60">
        <v>1107.2</v>
      </c>
      <c r="H269" s="59">
        <v>483</v>
      </c>
      <c r="I269" s="60" t="s">
        <v>34</v>
      </c>
      <c r="J269" s="60"/>
      <c r="K269" s="60"/>
      <c r="L269" s="60"/>
      <c r="M269" s="60"/>
      <c r="N269" s="60"/>
      <c r="O269" s="60"/>
      <c r="P269" s="60">
        <f t="shared" si="284"/>
        <v>3204293.4</v>
      </c>
      <c r="Q269" s="60"/>
      <c r="R269" s="60"/>
      <c r="S269" s="60"/>
      <c r="T269" s="60"/>
      <c r="U269" s="60">
        <f t="shared" si="285"/>
        <v>79590</v>
      </c>
      <c r="V269" s="60">
        <f t="shared" si="286"/>
        <v>68571.88</v>
      </c>
      <c r="W269" s="62">
        <f>V269+U269+T269+S269+R269+Q269+P269+O269+N269+M269+L269+K269+J269</f>
        <v>3352455.28</v>
      </c>
      <c r="X269" s="63" t="s">
        <v>17</v>
      </c>
      <c r="Y269" s="63">
        <v>0</v>
      </c>
      <c r="Z269" s="63">
        <v>0</v>
      </c>
      <c r="AA269" s="63">
        <v>0</v>
      </c>
      <c r="AB269" s="56">
        <f>W269-(Y269+Z269+AA269)</f>
        <v>3352455.28</v>
      </c>
    </row>
    <row r="270" spans="1:28" s="31" customFormat="1" ht="52.5" customHeight="1" x14ac:dyDescent="0.35">
      <c r="A270" s="31">
        <v>2018</v>
      </c>
      <c r="B270" s="53">
        <f>IF(OR(E270=0,E270=""),"",COUNTA($E$21:E270))</f>
        <v>212</v>
      </c>
      <c r="C270" s="53" t="s">
        <v>522</v>
      </c>
      <c r="D270" s="58" t="s">
        <v>790</v>
      </c>
      <c r="E270" s="59">
        <v>1933</v>
      </c>
      <c r="F270" s="60">
        <v>465</v>
      </c>
      <c r="G270" s="60">
        <v>385.3</v>
      </c>
      <c r="H270" s="60">
        <v>0</v>
      </c>
      <c r="I270" s="60" t="s">
        <v>35</v>
      </c>
      <c r="J270" s="60">
        <f>431*F270</f>
        <v>200415</v>
      </c>
      <c r="K270" s="60"/>
      <c r="L270" s="60"/>
      <c r="M270" s="60"/>
      <c r="N270" s="60"/>
      <c r="O270" s="60"/>
      <c r="P270" s="60">
        <f t="shared" si="284"/>
        <v>936045</v>
      </c>
      <c r="Q270" s="60"/>
      <c r="R270" s="60">
        <f>1657*F270</f>
        <v>770505</v>
      </c>
      <c r="S270" s="60">
        <f>134*F270</f>
        <v>62310</v>
      </c>
      <c r="T270" s="60"/>
      <c r="U270" s="60">
        <f t="shared" si="285"/>
        <v>23250</v>
      </c>
      <c r="V270" s="60">
        <f t="shared" si="286"/>
        <v>42142.49</v>
      </c>
      <c r="W270" s="62">
        <f>V270+U270+T270+S270+R270+Q270+P270+O270+N270+M270+L270+K270+J270</f>
        <v>2034667.49</v>
      </c>
      <c r="X270" s="63" t="s">
        <v>17</v>
      </c>
      <c r="Y270" s="63">
        <v>0</v>
      </c>
      <c r="Z270" s="63">
        <v>0</v>
      </c>
      <c r="AA270" s="63">
        <v>0</v>
      </c>
      <c r="AB270" s="56">
        <f>W270-(Y270+Z270+AA270)</f>
        <v>2034667.49</v>
      </c>
    </row>
    <row r="271" spans="1:28" s="31" customFormat="1" ht="52.5" customHeight="1" x14ac:dyDescent="0.35">
      <c r="A271" s="31">
        <v>2018</v>
      </c>
      <c r="B271" s="53" t="str">
        <f>IF(OR(E271=0,E271=""),"",COUNTA($E$21:E271))</f>
        <v/>
      </c>
      <c r="C271" s="53"/>
      <c r="D271" s="58"/>
      <c r="E271" s="59"/>
      <c r="F271" s="54">
        <f>SUM(F268:F270)</f>
        <v>2673.4</v>
      </c>
      <c r="G271" s="54">
        <f>SUM(G268:G270)</f>
        <v>2077.9</v>
      </c>
      <c r="H271" s="54">
        <f>SUM(H268:H270)</f>
        <v>483</v>
      </c>
      <c r="I271" s="54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1"/>
      <c r="W271" s="54">
        <f>SUM(W268:W270)</f>
        <v>8085135.6100000003</v>
      </c>
      <c r="X271" s="63"/>
      <c r="Y271" s="52">
        <v>0</v>
      </c>
      <c r="Z271" s="52">
        <v>0</v>
      </c>
      <c r="AA271" s="52">
        <v>0</v>
      </c>
      <c r="AB271" s="54">
        <f>W271-(Y271+Z271+AA271)</f>
        <v>8085135.6100000003</v>
      </c>
    </row>
    <row r="272" spans="1:28" s="31" customFormat="1" ht="52.5" customHeight="1" x14ac:dyDescent="0.35">
      <c r="A272" s="31">
        <v>2018</v>
      </c>
      <c r="B272" s="53" t="str">
        <f>IF(OR(E272=0,E272=""),"",COUNTA($E$21:E272))</f>
        <v/>
      </c>
      <c r="C272" s="53"/>
      <c r="D272" s="57" t="s">
        <v>64</v>
      </c>
      <c r="E272" s="57"/>
      <c r="F272" s="54"/>
      <c r="G272" s="54"/>
      <c r="H272" s="54"/>
      <c r="I272" s="54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59"/>
      <c r="Z272" s="59"/>
      <c r="AA272" s="59"/>
      <c r="AB272" s="54"/>
    </row>
    <row r="273" spans="1:28" s="31" customFormat="1" ht="52.5" customHeight="1" x14ac:dyDescent="0.35">
      <c r="A273" s="31">
        <v>2018</v>
      </c>
      <c r="B273" s="53">
        <f>IF(OR(E273=0,E273=""),"",COUNTA($E$21:E273))</f>
        <v>213</v>
      </c>
      <c r="C273" s="53" t="s">
        <v>540</v>
      </c>
      <c r="D273" s="58" t="s">
        <v>791</v>
      </c>
      <c r="E273" s="59">
        <v>1938</v>
      </c>
      <c r="F273" s="60">
        <v>1261.5999999999999</v>
      </c>
      <c r="G273" s="60">
        <v>825</v>
      </c>
      <c r="H273" s="60">
        <v>0</v>
      </c>
      <c r="I273" s="60" t="s">
        <v>34</v>
      </c>
      <c r="J273" s="60">
        <f>431*F273</f>
        <v>543749.6</v>
      </c>
      <c r="K273" s="60">
        <f t="shared" ref="K273" si="287">500*F273</f>
        <v>630800</v>
      </c>
      <c r="L273" s="60"/>
      <c r="M273" s="60">
        <f>223*F273</f>
        <v>281336.8</v>
      </c>
      <c r="N273" s="60">
        <f>134*F273</f>
        <v>169054.4</v>
      </c>
      <c r="O273" s="60"/>
      <c r="P273" s="60">
        <f>2013*F273</f>
        <v>2539600.7999999998</v>
      </c>
      <c r="Q273" s="60"/>
      <c r="R273" s="60">
        <f t="shared" ref="R273:R274" si="288">1657*F273</f>
        <v>2090471.2</v>
      </c>
      <c r="S273" s="60">
        <f>134*F273</f>
        <v>169054.4</v>
      </c>
      <c r="T273" s="60"/>
      <c r="U273" s="60">
        <f t="shared" ref="U273:U274" si="289">50*F273</f>
        <v>63080</v>
      </c>
      <c r="V273" s="60">
        <f t="shared" ref="V273:V274" si="290">(J273+K273+L273+M273+N273+O273+P273+Q273+R273+S273+T273)*0.0214</f>
        <v>137475.04</v>
      </c>
      <c r="W273" s="62">
        <f>V273+U273+T273+S273+R273+Q273+P273+O273+N273+M273+L273+K273+J273</f>
        <v>6624622.2400000002</v>
      </c>
      <c r="X273" s="60" t="s">
        <v>17</v>
      </c>
      <c r="Y273" s="53">
        <v>0</v>
      </c>
      <c r="Z273" s="53">
        <v>0</v>
      </c>
      <c r="AA273" s="53">
        <v>0</v>
      </c>
      <c r="AB273" s="54">
        <f>W273-(Y273+Z273+AA273)</f>
        <v>6624622.2400000002</v>
      </c>
    </row>
    <row r="274" spans="1:28" s="31" customFormat="1" ht="52.5" customHeight="1" x14ac:dyDescent="0.35">
      <c r="A274" s="31">
        <v>2018</v>
      </c>
      <c r="B274" s="53">
        <f>IF(OR(E274=0,E274=""),"",COUNTA($E$21:E274))</f>
        <v>214</v>
      </c>
      <c r="C274" s="53" t="s">
        <v>539</v>
      </c>
      <c r="D274" s="58" t="s">
        <v>792</v>
      </c>
      <c r="E274" s="59">
        <v>1939</v>
      </c>
      <c r="F274" s="60">
        <v>1261.5999999999999</v>
      </c>
      <c r="G274" s="60">
        <v>825</v>
      </c>
      <c r="H274" s="60">
        <v>0</v>
      </c>
      <c r="I274" s="60" t="s">
        <v>34</v>
      </c>
      <c r="J274" s="60">
        <f>431*F274</f>
        <v>543749.6</v>
      </c>
      <c r="K274" s="60">
        <f t="shared" ref="K274" si="291">500*F274</f>
        <v>630800</v>
      </c>
      <c r="L274" s="60"/>
      <c r="M274" s="60">
        <f>223*F274</f>
        <v>281336.8</v>
      </c>
      <c r="N274" s="60">
        <f>134*F274</f>
        <v>169054.4</v>
      </c>
      <c r="O274" s="60"/>
      <c r="P274" s="60">
        <f>2013*F274</f>
        <v>2539600.7999999998</v>
      </c>
      <c r="Q274" s="60"/>
      <c r="R274" s="60">
        <f t="shared" si="288"/>
        <v>2090471.2</v>
      </c>
      <c r="S274" s="60">
        <f>134*F274</f>
        <v>169054.4</v>
      </c>
      <c r="T274" s="60"/>
      <c r="U274" s="60">
        <f t="shared" si="289"/>
        <v>63080</v>
      </c>
      <c r="V274" s="60">
        <f t="shared" si="290"/>
        <v>137475.04</v>
      </c>
      <c r="W274" s="62">
        <f>V274+U274+T274+S274+R274+Q274+P274+O274+N274+M274+L274+K274+J274</f>
        <v>6624622.2400000002</v>
      </c>
      <c r="X274" s="60" t="s">
        <v>17</v>
      </c>
      <c r="Y274" s="59">
        <v>0</v>
      </c>
      <c r="Z274" s="59">
        <v>0</v>
      </c>
      <c r="AA274" s="59">
        <v>0</v>
      </c>
      <c r="AB274" s="54">
        <f>W274-(Y274+Z274+AA274)</f>
        <v>6624622.2400000002</v>
      </c>
    </row>
    <row r="275" spans="1:28" s="31" customFormat="1" ht="52.5" customHeight="1" x14ac:dyDescent="0.35">
      <c r="A275" s="31">
        <v>2018</v>
      </c>
      <c r="B275" s="53" t="str">
        <f>IF(OR(E275=0,E275=""),"",COUNTA($E$21:E275))</f>
        <v/>
      </c>
      <c r="C275" s="53"/>
      <c r="D275" s="58"/>
      <c r="E275" s="59"/>
      <c r="F275" s="54">
        <f>SUM(F273:F274)</f>
        <v>2523.1999999999998</v>
      </c>
      <c r="G275" s="54">
        <f>SUM(G273:G274)</f>
        <v>1650</v>
      </c>
      <c r="H275" s="54">
        <f>SUM(H274:H274)</f>
        <v>0</v>
      </c>
      <c r="I275" s="54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54">
        <f>SUM(W273:W274)</f>
        <v>13249244.48</v>
      </c>
      <c r="X275" s="60"/>
      <c r="Y275" s="52">
        <v>0</v>
      </c>
      <c r="Z275" s="52">
        <v>0</v>
      </c>
      <c r="AA275" s="52">
        <v>0</v>
      </c>
      <c r="AB275" s="54">
        <f>SUM(AB273:AB274)</f>
        <v>13249244.48</v>
      </c>
    </row>
    <row r="276" spans="1:28" s="31" customFormat="1" ht="52.5" customHeight="1" x14ac:dyDescent="0.35">
      <c r="A276" s="31">
        <v>2018</v>
      </c>
      <c r="B276" s="53" t="str">
        <f>IF(OR(E276=0,E276=""),"",COUNTA($E$21:E276))</f>
        <v/>
      </c>
      <c r="C276" s="53"/>
      <c r="D276" s="57" t="s">
        <v>27</v>
      </c>
      <c r="E276" s="59"/>
      <c r="F276" s="54"/>
      <c r="G276" s="54"/>
      <c r="H276" s="54"/>
      <c r="I276" s="54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54"/>
      <c r="X276" s="60"/>
      <c r="Y276" s="53"/>
      <c r="Z276" s="53"/>
      <c r="AA276" s="53"/>
      <c r="AB276" s="54"/>
    </row>
    <row r="277" spans="1:28" s="31" customFormat="1" ht="52.5" customHeight="1" x14ac:dyDescent="0.35">
      <c r="A277" s="31">
        <v>2018</v>
      </c>
      <c r="B277" s="53">
        <f>IF(OR(E277=0,E277=""),"",COUNTA($E$21:E277))</f>
        <v>215</v>
      </c>
      <c r="C277" s="53" t="s">
        <v>541</v>
      </c>
      <c r="D277" s="58" t="s">
        <v>793</v>
      </c>
      <c r="E277" s="59">
        <v>1969</v>
      </c>
      <c r="F277" s="60">
        <v>690</v>
      </c>
      <c r="G277" s="60">
        <v>641.20000000000005</v>
      </c>
      <c r="H277" s="60">
        <v>0</v>
      </c>
      <c r="I277" s="60" t="s">
        <v>35</v>
      </c>
      <c r="J277" s="60">
        <f>431*F277</f>
        <v>297390</v>
      </c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>
        <f>50*F277</f>
        <v>34500</v>
      </c>
      <c r="V277" s="60">
        <f>(J277+K277+L277+M277+N277+O277+P277+Q277+R277+S277+T277)*0.0214</f>
        <v>6364.15</v>
      </c>
      <c r="W277" s="60">
        <f>SUM(J277:V277)</f>
        <v>338254.15</v>
      </c>
      <c r="X277" s="60" t="s">
        <v>17</v>
      </c>
      <c r="Y277" s="53">
        <v>0</v>
      </c>
      <c r="Z277" s="53">
        <v>0</v>
      </c>
      <c r="AA277" s="53">
        <v>0</v>
      </c>
      <c r="AB277" s="54">
        <f>W277-(Y277+Z277+AA277)</f>
        <v>338254.15</v>
      </c>
    </row>
    <row r="278" spans="1:28" s="31" customFormat="1" ht="52.5" customHeight="1" x14ac:dyDescent="0.35">
      <c r="A278" s="31">
        <v>2018</v>
      </c>
      <c r="B278" s="53" t="str">
        <f>IF(OR(E278=0,E278=""),"",COUNTA($E$21:E278))</f>
        <v/>
      </c>
      <c r="C278" s="53"/>
      <c r="D278" s="58"/>
      <c r="E278" s="59"/>
      <c r="F278" s="54">
        <f>SUM(F277)</f>
        <v>690</v>
      </c>
      <c r="G278" s="54">
        <f>SUM(G277)</f>
        <v>641.20000000000005</v>
      </c>
      <c r="H278" s="54">
        <f>SUM(H277)</f>
        <v>0</v>
      </c>
      <c r="I278" s="54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54">
        <f>SUM(W277)</f>
        <v>338254.15</v>
      </c>
      <c r="X278" s="60"/>
      <c r="Y278" s="52">
        <v>0</v>
      </c>
      <c r="Z278" s="52">
        <v>0</v>
      </c>
      <c r="AA278" s="52">
        <v>0</v>
      </c>
      <c r="AB278" s="54">
        <f>W278-(Y278+Z278+AA278)</f>
        <v>338254.15</v>
      </c>
    </row>
    <row r="279" spans="1:28" s="31" customFormat="1" ht="52.5" customHeight="1" x14ac:dyDescent="0.35">
      <c r="A279" s="31">
        <v>2018</v>
      </c>
      <c r="B279" s="53" t="str">
        <f>IF(OR(E279=0,E279=""),"",COUNTA($E$21:E279))</f>
        <v/>
      </c>
      <c r="C279" s="53"/>
      <c r="D279" s="57" t="s">
        <v>13</v>
      </c>
      <c r="E279" s="57"/>
      <c r="F279" s="54"/>
      <c r="G279" s="54"/>
      <c r="H279" s="54"/>
      <c r="I279" s="54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59"/>
      <c r="Z279" s="59"/>
      <c r="AA279" s="59"/>
      <c r="AB279" s="54"/>
    </row>
    <row r="280" spans="1:28" s="31" customFormat="1" ht="52.5" customHeight="1" x14ac:dyDescent="0.35">
      <c r="A280" s="31">
        <v>2018</v>
      </c>
      <c r="B280" s="53">
        <f>IF(OR(E280=0,E280=""),"",COUNTA($E$21:E280))</f>
        <v>216</v>
      </c>
      <c r="C280" s="53" t="s">
        <v>543</v>
      </c>
      <c r="D280" s="58" t="s">
        <v>794</v>
      </c>
      <c r="E280" s="59">
        <v>1963</v>
      </c>
      <c r="F280" s="60">
        <v>1292.76</v>
      </c>
      <c r="G280" s="60">
        <v>641.1</v>
      </c>
      <c r="H280" s="60">
        <v>473.32</v>
      </c>
      <c r="I280" s="60" t="s">
        <v>35</v>
      </c>
      <c r="J280" s="60">
        <f>431*F280</f>
        <v>557179.56000000006</v>
      </c>
      <c r="K280" s="60"/>
      <c r="L280" s="60"/>
      <c r="M280" s="60">
        <f>223*F280</f>
        <v>288285.48</v>
      </c>
      <c r="N280" s="60">
        <f>134*F280</f>
        <v>173229.84</v>
      </c>
      <c r="O280" s="60"/>
      <c r="P280" s="60">
        <f>2013*F280</f>
        <v>2602325.88</v>
      </c>
      <c r="Q280" s="60"/>
      <c r="R280" s="60">
        <f>1657*F280</f>
        <v>2142103.3199999998</v>
      </c>
      <c r="S280" s="60">
        <f>134*F280</f>
        <v>173229.84</v>
      </c>
      <c r="T280" s="60"/>
      <c r="U280" s="60">
        <f>50*F280</f>
        <v>64638</v>
      </c>
      <c r="V280" s="60">
        <f>(J280+K280+L280+M280+N280+O280+P280+Q280+R280+S280+T280)*0.0214</f>
        <v>127037.97</v>
      </c>
      <c r="W280" s="62">
        <f>V280+U280+T280+S280+R280+Q280+P280+O280+N280+M280+L280+K280+J280</f>
        <v>6128029.8899999997</v>
      </c>
      <c r="X280" s="60" t="s">
        <v>17</v>
      </c>
      <c r="Y280" s="59">
        <v>0</v>
      </c>
      <c r="Z280" s="59">
        <v>0</v>
      </c>
      <c r="AA280" s="59">
        <v>0</v>
      </c>
      <c r="AB280" s="54">
        <f>W280-(Y280+Z280+AA280)</f>
        <v>6128029.8899999997</v>
      </c>
    </row>
    <row r="281" spans="1:28" s="31" customFormat="1" ht="52.5" customHeight="1" x14ac:dyDescent="0.35">
      <c r="A281" s="31">
        <v>2018</v>
      </c>
      <c r="B281" s="53" t="str">
        <f>IF(OR(E281=0,E281=""),"",COUNTA($E$21:E281))</f>
        <v/>
      </c>
      <c r="C281" s="53"/>
      <c r="D281" s="58"/>
      <c r="E281" s="59"/>
      <c r="F281" s="54">
        <f>SUM(F280)</f>
        <v>1292.76</v>
      </c>
      <c r="G281" s="54">
        <f>SUM(G280)</f>
        <v>641.1</v>
      </c>
      <c r="H281" s="54">
        <f>SUM(H280)</f>
        <v>473.32</v>
      </c>
      <c r="I281" s="54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54">
        <f>SUM(W280)</f>
        <v>6128029.8899999997</v>
      </c>
      <c r="X281" s="60"/>
      <c r="Y281" s="52">
        <v>0</v>
      </c>
      <c r="Z281" s="52">
        <v>0</v>
      </c>
      <c r="AA281" s="52">
        <v>0</v>
      </c>
      <c r="AB281" s="54">
        <f>W281-(Y281+Z281+AA281)</f>
        <v>6128029.8899999997</v>
      </c>
    </row>
    <row r="282" spans="1:28" s="31" customFormat="1" ht="52.5" customHeight="1" x14ac:dyDescent="0.35">
      <c r="A282" s="31">
        <v>2018</v>
      </c>
      <c r="B282" s="53" t="str">
        <f>IF(OR(E282=0,E282=""),"",COUNTA($E$21:E282))</f>
        <v/>
      </c>
      <c r="C282" s="53"/>
      <c r="D282" s="57" t="s">
        <v>85</v>
      </c>
      <c r="E282" s="59"/>
      <c r="F282" s="54"/>
      <c r="G282" s="54"/>
      <c r="H282" s="54"/>
      <c r="I282" s="54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54"/>
      <c r="X282" s="60"/>
      <c r="Y282" s="53"/>
      <c r="Z282" s="53"/>
      <c r="AA282" s="53"/>
      <c r="AB282" s="54"/>
    </row>
    <row r="283" spans="1:28" s="31" customFormat="1" ht="52.5" customHeight="1" x14ac:dyDescent="0.35">
      <c r="A283" s="31">
        <v>2018</v>
      </c>
      <c r="B283" s="53">
        <f>IF(OR(E283=0,E283=""),"",COUNTA($E$21:E283))</f>
        <v>217</v>
      </c>
      <c r="C283" s="53" t="s">
        <v>544</v>
      </c>
      <c r="D283" s="58" t="s">
        <v>795</v>
      </c>
      <c r="E283" s="59">
        <v>1980</v>
      </c>
      <c r="F283" s="60">
        <v>2530.6</v>
      </c>
      <c r="G283" s="60">
        <v>2063</v>
      </c>
      <c r="H283" s="60">
        <v>75.099999999999994</v>
      </c>
      <c r="I283" s="60" t="s">
        <v>34</v>
      </c>
      <c r="J283" s="60"/>
      <c r="K283" s="60"/>
      <c r="L283" s="60"/>
      <c r="M283" s="60"/>
      <c r="N283" s="60"/>
      <c r="O283" s="60"/>
      <c r="P283" s="60">
        <f>2013*F283</f>
        <v>5094097.8</v>
      </c>
      <c r="Q283" s="60"/>
      <c r="R283" s="60">
        <f>1657*F283</f>
        <v>4193204.2</v>
      </c>
      <c r="S283" s="60"/>
      <c r="T283" s="60"/>
      <c r="U283" s="60"/>
      <c r="V283" s="60"/>
      <c r="W283" s="62">
        <f>V283+U283+T283+S283+R283+Q283+P283+O283+N283+M283+L283+K283+J283</f>
        <v>9287302</v>
      </c>
      <c r="X283" s="60" t="s">
        <v>17</v>
      </c>
      <c r="Y283" s="53">
        <v>0</v>
      </c>
      <c r="Z283" s="53">
        <v>0</v>
      </c>
      <c r="AA283" s="53">
        <v>0</v>
      </c>
      <c r="AB283" s="54">
        <f>W283-(Y283+Z283+AA283)</f>
        <v>9287302</v>
      </c>
    </row>
    <row r="284" spans="1:28" s="31" customFormat="1" ht="52.5" customHeight="1" x14ac:dyDescent="0.35">
      <c r="A284" s="31">
        <v>2018</v>
      </c>
      <c r="B284" s="53" t="str">
        <f>IF(OR(E284=0,E284=""),"",COUNTA($E$21:E284))</f>
        <v/>
      </c>
      <c r="C284" s="53"/>
      <c r="D284" s="58"/>
      <c r="E284" s="59"/>
      <c r="F284" s="54">
        <f>SUM(F283:F283)</f>
        <v>2530.6</v>
      </c>
      <c r="G284" s="54">
        <f>SUM(G283:G283)</f>
        <v>2063</v>
      </c>
      <c r="H284" s="54">
        <f>SUM(H283:H283)</f>
        <v>75.099999999999994</v>
      </c>
      <c r="I284" s="54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54">
        <f>SUM(W283:W283)</f>
        <v>9287302</v>
      </c>
      <c r="X284" s="60"/>
      <c r="Y284" s="52">
        <v>0</v>
      </c>
      <c r="Z284" s="52">
        <v>0</v>
      </c>
      <c r="AA284" s="52">
        <v>0</v>
      </c>
      <c r="AB284" s="54">
        <f>W284-(Y284+Z284+AA284)</f>
        <v>9287302</v>
      </c>
    </row>
    <row r="285" spans="1:28" s="31" customFormat="1" ht="52.5" customHeight="1" x14ac:dyDescent="0.35">
      <c r="A285" s="31">
        <v>2018</v>
      </c>
      <c r="B285" s="53" t="str">
        <f>IF(OR(E285=0,E285=""),"",COUNTA($E$21:E285))</f>
        <v/>
      </c>
      <c r="C285" s="53"/>
      <c r="D285" s="57" t="s">
        <v>46</v>
      </c>
      <c r="E285" s="59"/>
      <c r="F285" s="54"/>
      <c r="G285" s="54"/>
      <c r="H285" s="54"/>
      <c r="I285" s="54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54"/>
      <c r="X285" s="60"/>
      <c r="Y285" s="53"/>
      <c r="Z285" s="53"/>
      <c r="AA285" s="53"/>
      <c r="AB285" s="54"/>
    </row>
    <row r="286" spans="1:28" s="31" customFormat="1" ht="52.5" customHeight="1" x14ac:dyDescent="0.35">
      <c r="A286" s="31">
        <v>2018</v>
      </c>
      <c r="B286" s="53">
        <f>IF(OR(E286=0,E286=""),"",COUNTA($E$21:E286))</f>
        <v>218</v>
      </c>
      <c r="C286" s="53" t="s">
        <v>550</v>
      </c>
      <c r="D286" s="58" t="s">
        <v>796</v>
      </c>
      <c r="E286" s="59">
        <v>1981</v>
      </c>
      <c r="F286" s="60">
        <v>1407.2</v>
      </c>
      <c r="G286" s="60">
        <v>826.6</v>
      </c>
      <c r="H286" s="60">
        <v>580.6</v>
      </c>
      <c r="I286" s="60" t="s">
        <v>35</v>
      </c>
      <c r="J286" s="60"/>
      <c r="K286" s="60"/>
      <c r="L286" s="60"/>
      <c r="M286" s="60"/>
      <c r="N286" s="60"/>
      <c r="O286" s="60"/>
      <c r="P286" s="60">
        <f t="shared" ref="P286:P287" si="292">2013*F286</f>
        <v>2832693.6</v>
      </c>
      <c r="Q286" s="60"/>
      <c r="R286" s="60"/>
      <c r="S286" s="60"/>
      <c r="T286" s="60"/>
      <c r="U286" s="60">
        <f t="shared" ref="U286:U287" si="293">50*F286</f>
        <v>70360</v>
      </c>
      <c r="V286" s="60">
        <f t="shared" ref="V286:V287" si="294">(J286+K286+L286+M286+N286+O286+P286+Q286+R286+S286+T286)*0.0214</f>
        <v>60619.64</v>
      </c>
      <c r="W286" s="62">
        <f>V286+U286+T286+S286+R286+Q286+P286+O286+N286+M286+L286+K286+J286</f>
        <v>2963673.24</v>
      </c>
      <c r="X286" s="60" t="s">
        <v>17</v>
      </c>
      <c r="Y286" s="59">
        <v>0</v>
      </c>
      <c r="Z286" s="59">
        <v>0</v>
      </c>
      <c r="AA286" s="59">
        <v>0</v>
      </c>
      <c r="AB286" s="54">
        <f>W286-(Y286+Z286+AA286)</f>
        <v>2963673.24</v>
      </c>
    </row>
    <row r="287" spans="1:28" s="31" customFormat="1" ht="52.5" customHeight="1" x14ac:dyDescent="0.35">
      <c r="A287" s="31">
        <v>2018</v>
      </c>
      <c r="B287" s="53">
        <f>IF(OR(E287=0,E287=""),"",COUNTA($E$21:E287))</f>
        <v>219</v>
      </c>
      <c r="C287" s="53" t="s">
        <v>551</v>
      </c>
      <c r="D287" s="58" t="s">
        <v>797</v>
      </c>
      <c r="E287" s="59">
        <v>1968</v>
      </c>
      <c r="F287" s="60">
        <v>857.6</v>
      </c>
      <c r="G287" s="60">
        <v>698.6</v>
      </c>
      <c r="H287" s="60">
        <v>382</v>
      </c>
      <c r="I287" s="60" t="s">
        <v>35</v>
      </c>
      <c r="J287" s="60">
        <f>431*F287</f>
        <v>369625.59999999998</v>
      </c>
      <c r="K287" s="60">
        <f>500*F287</f>
        <v>428800</v>
      </c>
      <c r="L287" s="60"/>
      <c r="M287" s="60">
        <f>223*F287</f>
        <v>191244.79999999999</v>
      </c>
      <c r="N287" s="60">
        <f>134*F287</f>
        <v>114918.39999999999</v>
      </c>
      <c r="O287" s="60"/>
      <c r="P287" s="60">
        <f t="shared" si="292"/>
        <v>1726348.8</v>
      </c>
      <c r="Q287" s="60"/>
      <c r="R287" s="60">
        <f>1657*F287</f>
        <v>1421043.2</v>
      </c>
      <c r="S287" s="60">
        <f>134*F287</f>
        <v>114918.39999999999</v>
      </c>
      <c r="T287" s="60"/>
      <c r="U287" s="60">
        <f t="shared" si="293"/>
        <v>42880</v>
      </c>
      <c r="V287" s="60">
        <f t="shared" si="294"/>
        <v>93451.64</v>
      </c>
      <c r="W287" s="62">
        <f>V287+U287+T287+S287+R287+Q287+P287+O287+N287+M287+L287+K287+J287</f>
        <v>4503230.84</v>
      </c>
      <c r="X287" s="60" t="s">
        <v>17</v>
      </c>
      <c r="Y287" s="59">
        <v>0</v>
      </c>
      <c r="Z287" s="59">
        <v>0</v>
      </c>
      <c r="AA287" s="59">
        <v>0</v>
      </c>
      <c r="AB287" s="54">
        <f>W287-(Y287+Z287+AA287)</f>
        <v>4503230.84</v>
      </c>
    </row>
    <row r="288" spans="1:28" s="31" customFormat="1" ht="52.5" customHeight="1" x14ac:dyDescent="0.35">
      <c r="A288" s="31">
        <v>2018</v>
      </c>
      <c r="B288" s="53" t="str">
        <f>IF(OR(E288=0,E288=""),"",COUNTA($E$21:E288))</f>
        <v/>
      </c>
      <c r="C288" s="53"/>
      <c r="D288" s="58"/>
      <c r="E288" s="59"/>
      <c r="F288" s="54">
        <f>SUM(F286:F287)</f>
        <v>2264.8000000000002</v>
      </c>
      <c r="G288" s="54">
        <f>SUM(G286:G287)</f>
        <v>1525.2</v>
      </c>
      <c r="H288" s="54">
        <f>SUM(H286:H287)</f>
        <v>962.6</v>
      </c>
      <c r="I288" s="54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54">
        <f>SUM(W286:W287)</f>
        <v>7466904.0800000001</v>
      </c>
      <c r="X288" s="60"/>
      <c r="Y288" s="52">
        <v>0</v>
      </c>
      <c r="Z288" s="52">
        <v>0</v>
      </c>
      <c r="AA288" s="52">
        <v>0</v>
      </c>
      <c r="AB288" s="54">
        <f>W288-(Y288+Z288+AA288)</f>
        <v>7466904.0800000001</v>
      </c>
    </row>
    <row r="289" spans="1:28" s="31" customFormat="1" ht="52.5" customHeight="1" x14ac:dyDescent="0.35">
      <c r="A289" s="31">
        <v>2018</v>
      </c>
      <c r="B289" s="53" t="str">
        <f>IF(OR(E289=0,E289=""),"",COUNTA($E$21:E289))</f>
        <v/>
      </c>
      <c r="C289" s="53"/>
      <c r="D289" s="57" t="s">
        <v>45</v>
      </c>
      <c r="E289" s="59"/>
      <c r="F289" s="54"/>
      <c r="G289" s="54"/>
      <c r="H289" s="54"/>
      <c r="I289" s="54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2"/>
      <c r="X289" s="60"/>
      <c r="Y289" s="53"/>
      <c r="Z289" s="53"/>
      <c r="AA289" s="53"/>
      <c r="AB289" s="54"/>
    </row>
    <row r="290" spans="1:28" s="31" customFormat="1" ht="52.5" customHeight="1" x14ac:dyDescent="0.35">
      <c r="A290" s="31">
        <v>2018</v>
      </c>
      <c r="B290" s="53">
        <f>IF(OR(E290=0,E290=""),"",COUNTA($E$21:E290))</f>
        <v>220</v>
      </c>
      <c r="C290" s="53" t="s">
        <v>553</v>
      </c>
      <c r="D290" s="58" t="s">
        <v>798</v>
      </c>
      <c r="E290" s="59">
        <v>1978</v>
      </c>
      <c r="F290" s="60">
        <v>787.8</v>
      </c>
      <c r="G290" s="60">
        <v>727.8</v>
      </c>
      <c r="H290" s="59">
        <v>50</v>
      </c>
      <c r="I290" s="60" t="s">
        <v>35</v>
      </c>
      <c r="J290" s="60"/>
      <c r="K290" s="60"/>
      <c r="L290" s="60"/>
      <c r="M290" s="60"/>
      <c r="N290" s="60"/>
      <c r="O290" s="60"/>
      <c r="P290" s="60">
        <f>2013*F290</f>
        <v>1585841.4</v>
      </c>
      <c r="Q290" s="60"/>
      <c r="R290" s="60"/>
      <c r="S290" s="60"/>
      <c r="T290" s="60"/>
      <c r="U290" s="60"/>
      <c r="V290" s="60"/>
      <c r="W290" s="62">
        <f>V290+U290+T290+S290+R290+Q290+P290+O290+N290+M290+L290+K290+J290</f>
        <v>1585841.4</v>
      </c>
      <c r="X290" s="60" t="s">
        <v>17</v>
      </c>
      <c r="Y290" s="53">
        <v>0</v>
      </c>
      <c r="Z290" s="53">
        <v>0</v>
      </c>
      <c r="AA290" s="53">
        <v>0</v>
      </c>
      <c r="AB290" s="54">
        <f>W290-(Y290+Z290+AA290)</f>
        <v>1585841.4</v>
      </c>
    </row>
    <row r="291" spans="1:28" s="31" customFormat="1" ht="52.5" customHeight="1" x14ac:dyDescent="0.35">
      <c r="A291" s="31">
        <v>2018</v>
      </c>
      <c r="B291" s="53" t="str">
        <f>IF(OR(E291=0,E291=""),"",COUNTA($E$21:E291))</f>
        <v/>
      </c>
      <c r="C291" s="53"/>
      <c r="D291" s="58"/>
      <c r="E291" s="59"/>
      <c r="F291" s="54">
        <f>SUM(F290)</f>
        <v>787.8</v>
      </c>
      <c r="G291" s="54">
        <f>SUM(G290)</f>
        <v>727.8</v>
      </c>
      <c r="H291" s="54">
        <f>SUM(H290)</f>
        <v>50</v>
      </c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>
        <f>SUM(W290)</f>
        <v>1585841.4</v>
      </c>
      <c r="X291" s="60"/>
      <c r="Y291" s="52">
        <v>0</v>
      </c>
      <c r="Z291" s="52">
        <v>0</v>
      </c>
      <c r="AA291" s="52">
        <v>0</v>
      </c>
      <c r="AB291" s="54">
        <f>W291-(Y291+Z291+AA291)</f>
        <v>1585841.4</v>
      </c>
    </row>
    <row r="292" spans="1:28" s="31" customFormat="1" ht="52.5" customHeight="1" x14ac:dyDescent="0.35">
      <c r="A292" s="31">
        <v>2018</v>
      </c>
      <c r="B292" s="53" t="str">
        <f>IF(OR(E292=0,E292=""),"",COUNTA($E$21:E292))</f>
        <v/>
      </c>
      <c r="C292" s="53"/>
      <c r="D292" s="57" t="s">
        <v>1062</v>
      </c>
      <c r="E292" s="59"/>
      <c r="F292" s="54"/>
      <c r="G292" s="54"/>
      <c r="H292" s="54"/>
      <c r="I292" s="54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2"/>
      <c r="X292" s="60"/>
      <c r="Y292" s="53"/>
      <c r="Z292" s="53"/>
      <c r="AA292" s="53"/>
      <c r="AB292" s="54"/>
    </row>
    <row r="293" spans="1:28" s="31" customFormat="1" ht="52.5" customHeight="1" x14ac:dyDescent="0.35">
      <c r="A293" s="31">
        <v>2018</v>
      </c>
      <c r="B293" s="53">
        <f>IF(OR(E293=0,E293=""),"",COUNTA($E$21:E293))</f>
        <v>221</v>
      </c>
      <c r="C293" s="53" t="s">
        <v>556</v>
      </c>
      <c r="D293" s="58" t="s">
        <v>799</v>
      </c>
      <c r="E293" s="59">
        <v>1958</v>
      </c>
      <c r="F293" s="60">
        <v>778.3</v>
      </c>
      <c r="G293" s="60">
        <v>691.9</v>
      </c>
      <c r="H293" s="60">
        <v>42.6</v>
      </c>
      <c r="I293" s="60" t="s">
        <v>35</v>
      </c>
      <c r="J293" s="60"/>
      <c r="K293" s="60">
        <f>500*F293</f>
        <v>389150</v>
      </c>
      <c r="L293" s="60"/>
      <c r="M293" s="60">
        <f>223*F293</f>
        <v>173560.9</v>
      </c>
      <c r="N293" s="60"/>
      <c r="O293" s="60"/>
      <c r="P293" s="60">
        <f>2013*F293</f>
        <v>1566717.9</v>
      </c>
      <c r="Q293" s="60">
        <f>191*F293</f>
        <v>148655.29999999999</v>
      </c>
      <c r="R293" s="60">
        <f>1657*F293</f>
        <v>1289643.1000000001</v>
      </c>
      <c r="S293" s="60">
        <f>134*F293</f>
        <v>104292.2</v>
      </c>
      <c r="T293" s="60"/>
      <c r="U293" s="60">
        <f>50*F293</f>
        <v>38915</v>
      </c>
      <c r="V293" s="60">
        <f>(J293+K293+L293+M293+N293+O293+P293+Q293+R293+S293+T293)*0.0214</f>
        <v>78581.22</v>
      </c>
      <c r="W293" s="62">
        <f t="shared" ref="W293:W303" si="295">V293+U293+T293+S293+R293+Q293+P293+O293+N293+M293+L293+K293+J293</f>
        <v>3789515.62</v>
      </c>
      <c r="X293" s="60" t="s">
        <v>17</v>
      </c>
      <c r="Y293" s="53">
        <v>0</v>
      </c>
      <c r="Z293" s="53">
        <v>0</v>
      </c>
      <c r="AA293" s="53">
        <v>0</v>
      </c>
      <c r="AB293" s="54">
        <f t="shared" ref="AB293:AB303" si="296">W293-(Y293+Z293+AA293)</f>
        <v>3789515.62</v>
      </c>
    </row>
    <row r="294" spans="1:28" s="31" customFormat="1" ht="52.5" customHeight="1" x14ac:dyDescent="0.35">
      <c r="A294" s="31">
        <v>2018</v>
      </c>
      <c r="B294" s="53">
        <f>IF(OR(E294=0,E294=""),"",COUNTA($E$21:E294))</f>
        <v>222</v>
      </c>
      <c r="C294" s="53" t="s">
        <v>568</v>
      </c>
      <c r="D294" s="58" t="s">
        <v>800</v>
      </c>
      <c r="E294" s="59">
        <v>1983</v>
      </c>
      <c r="F294" s="60">
        <v>3708.6</v>
      </c>
      <c r="G294" s="60">
        <v>2788.4</v>
      </c>
      <c r="H294" s="59">
        <v>920.2</v>
      </c>
      <c r="I294" s="60" t="s">
        <v>33</v>
      </c>
      <c r="J294" s="60"/>
      <c r="K294" s="60"/>
      <c r="L294" s="60"/>
      <c r="M294" s="60"/>
      <c r="N294" s="60"/>
      <c r="O294" s="60"/>
      <c r="P294" s="60">
        <f>1679*F294</f>
        <v>6226739.4000000004</v>
      </c>
      <c r="Q294" s="60"/>
      <c r="R294" s="60"/>
      <c r="S294" s="60"/>
      <c r="T294" s="60"/>
      <c r="U294" s="60">
        <f>50*F294</f>
        <v>185430</v>
      </c>
      <c r="V294" s="61">
        <f>(J294+K294+L294+M294+N294+O294+P294+Q294+R294+S294+T294)*0.0214</f>
        <v>133252.22</v>
      </c>
      <c r="W294" s="62">
        <f t="shared" si="295"/>
        <v>6545421.6200000001</v>
      </c>
      <c r="X294" s="60" t="s">
        <v>17</v>
      </c>
      <c r="Y294" s="53">
        <v>0</v>
      </c>
      <c r="Z294" s="53">
        <v>0</v>
      </c>
      <c r="AA294" s="53">
        <v>0</v>
      </c>
      <c r="AB294" s="54">
        <f t="shared" si="296"/>
        <v>6545421.6200000001</v>
      </c>
    </row>
    <row r="295" spans="1:28" s="31" customFormat="1" ht="52.5" customHeight="1" x14ac:dyDescent="0.35">
      <c r="A295" s="31">
        <v>2018</v>
      </c>
      <c r="B295" s="53">
        <f>IF(OR(E295=0,E295=""),"",COUNTA($E$21:E295))</f>
        <v>223</v>
      </c>
      <c r="C295" s="53" t="s">
        <v>573</v>
      </c>
      <c r="D295" s="58" t="s">
        <v>801</v>
      </c>
      <c r="E295" s="59">
        <v>1991</v>
      </c>
      <c r="F295" s="60">
        <v>1979.1</v>
      </c>
      <c r="G295" s="60">
        <v>1334.9</v>
      </c>
      <c r="H295" s="59">
        <v>615</v>
      </c>
      <c r="I295" s="60" t="s">
        <v>34</v>
      </c>
      <c r="J295" s="60"/>
      <c r="K295" s="60"/>
      <c r="L295" s="60"/>
      <c r="M295" s="60"/>
      <c r="N295" s="60"/>
      <c r="O295" s="60"/>
      <c r="P295" s="60">
        <f t="shared" ref="P295:P297" si="297">2013*F295</f>
        <v>3983928.3</v>
      </c>
      <c r="Q295" s="60"/>
      <c r="R295" s="60"/>
      <c r="S295" s="60"/>
      <c r="T295" s="60"/>
      <c r="U295" s="60">
        <f t="shared" ref="U295:U299" si="298">50*F295</f>
        <v>98955</v>
      </c>
      <c r="V295" s="60">
        <f t="shared" ref="V295:V299" si="299">(J295+K295+L295+M295+N295+O295+P295+Q295+R295+S295+T295)*0.0214</f>
        <v>85256.07</v>
      </c>
      <c r="W295" s="62">
        <f t="shared" si="295"/>
        <v>4168139.37</v>
      </c>
      <c r="X295" s="60" t="s">
        <v>17</v>
      </c>
      <c r="Y295" s="53">
        <v>0</v>
      </c>
      <c r="Z295" s="53">
        <v>0</v>
      </c>
      <c r="AA295" s="53">
        <v>0</v>
      </c>
      <c r="AB295" s="54">
        <f t="shared" si="296"/>
        <v>4168139.37</v>
      </c>
    </row>
    <row r="296" spans="1:28" s="31" customFormat="1" ht="52.5" customHeight="1" x14ac:dyDescent="0.35">
      <c r="A296" s="31">
        <v>2018</v>
      </c>
      <c r="B296" s="53">
        <f>IF(OR(E296=0,E296=""),"",COUNTA($E$21:E296))</f>
        <v>224</v>
      </c>
      <c r="C296" s="53" t="s">
        <v>555</v>
      </c>
      <c r="D296" s="82" t="s">
        <v>802</v>
      </c>
      <c r="E296" s="59">
        <v>1974</v>
      </c>
      <c r="F296" s="60">
        <v>1727.2</v>
      </c>
      <c r="G296" s="60">
        <v>1128</v>
      </c>
      <c r="H296" s="59">
        <v>599.20000000000005</v>
      </c>
      <c r="I296" s="60" t="s">
        <v>34</v>
      </c>
      <c r="J296" s="66"/>
      <c r="K296" s="60"/>
      <c r="L296" s="60"/>
      <c r="M296" s="60"/>
      <c r="N296" s="60"/>
      <c r="O296" s="60"/>
      <c r="P296" s="60">
        <f t="shared" si="297"/>
        <v>3476853.6</v>
      </c>
      <c r="Q296" s="60"/>
      <c r="R296" s="60"/>
      <c r="S296" s="60"/>
      <c r="T296" s="60"/>
      <c r="U296" s="60">
        <f t="shared" si="298"/>
        <v>86360</v>
      </c>
      <c r="V296" s="60">
        <f t="shared" si="299"/>
        <v>74404.67</v>
      </c>
      <c r="W296" s="62">
        <f t="shared" si="295"/>
        <v>3637618.27</v>
      </c>
      <c r="X296" s="60" t="s">
        <v>17</v>
      </c>
      <c r="Y296" s="53">
        <v>0</v>
      </c>
      <c r="Z296" s="53">
        <v>0</v>
      </c>
      <c r="AA296" s="53">
        <v>0</v>
      </c>
      <c r="AB296" s="54">
        <f t="shared" si="296"/>
        <v>3637618.27</v>
      </c>
    </row>
    <row r="297" spans="1:28" s="31" customFormat="1" ht="52.5" customHeight="1" x14ac:dyDescent="0.35">
      <c r="A297" s="31">
        <v>2018</v>
      </c>
      <c r="B297" s="53">
        <f>IF(OR(E297=0,E297=""),"",COUNTA($E$21:E297))</f>
        <v>225</v>
      </c>
      <c r="C297" s="53" t="s">
        <v>575</v>
      </c>
      <c r="D297" s="58" t="s">
        <v>803</v>
      </c>
      <c r="E297" s="59">
        <v>1967</v>
      </c>
      <c r="F297" s="59">
        <v>549.5</v>
      </c>
      <c r="G297" s="59">
        <v>297.10000000000002</v>
      </c>
      <c r="H297" s="60">
        <v>0</v>
      </c>
      <c r="I297" s="60" t="s">
        <v>35</v>
      </c>
      <c r="J297" s="66"/>
      <c r="K297" s="60"/>
      <c r="L297" s="60"/>
      <c r="M297" s="60"/>
      <c r="N297" s="60"/>
      <c r="O297" s="60"/>
      <c r="P297" s="60">
        <f t="shared" si="297"/>
        <v>1106143.5</v>
      </c>
      <c r="Q297" s="60"/>
      <c r="R297" s="60"/>
      <c r="S297" s="60"/>
      <c r="T297" s="60"/>
      <c r="U297" s="60">
        <f t="shared" si="298"/>
        <v>27475</v>
      </c>
      <c r="V297" s="60">
        <f t="shared" si="299"/>
        <v>23671.47</v>
      </c>
      <c r="W297" s="62">
        <f t="shared" si="295"/>
        <v>1157289.97</v>
      </c>
      <c r="X297" s="60" t="s">
        <v>17</v>
      </c>
      <c r="Y297" s="53">
        <v>0</v>
      </c>
      <c r="Z297" s="53">
        <v>0</v>
      </c>
      <c r="AA297" s="53">
        <v>0</v>
      </c>
      <c r="AB297" s="54">
        <f t="shared" si="296"/>
        <v>1157289.97</v>
      </c>
    </row>
    <row r="298" spans="1:28" s="31" customFormat="1" ht="52.5" customHeight="1" x14ac:dyDescent="0.35">
      <c r="A298" s="31">
        <v>2018</v>
      </c>
      <c r="B298" s="53">
        <f>IF(OR(E298=0,E298=""),"",COUNTA($E$21:E298))</f>
        <v>226</v>
      </c>
      <c r="C298" s="53" t="s">
        <v>576</v>
      </c>
      <c r="D298" s="58" t="s">
        <v>804</v>
      </c>
      <c r="E298" s="59">
        <v>1982</v>
      </c>
      <c r="F298" s="60">
        <v>4860</v>
      </c>
      <c r="G298" s="60">
        <v>4151.7</v>
      </c>
      <c r="H298" s="59">
        <v>1667.5</v>
      </c>
      <c r="I298" s="60" t="s">
        <v>33</v>
      </c>
      <c r="J298" s="60"/>
      <c r="K298" s="60"/>
      <c r="L298" s="60"/>
      <c r="M298" s="60"/>
      <c r="N298" s="60"/>
      <c r="O298" s="60"/>
      <c r="P298" s="60">
        <f t="shared" ref="P298:P299" si="300">1679*F298</f>
        <v>8159940</v>
      </c>
      <c r="Q298" s="60"/>
      <c r="R298" s="60"/>
      <c r="S298" s="60"/>
      <c r="T298" s="60"/>
      <c r="U298" s="60">
        <f t="shared" si="298"/>
        <v>243000</v>
      </c>
      <c r="V298" s="61">
        <f t="shared" si="299"/>
        <v>174622.72</v>
      </c>
      <c r="W298" s="62">
        <f t="shared" si="295"/>
        <v>8577562.7200000007</v>
      </c>
      <c r="X298" s="60" t="s">
        <v>17</v>
      </c>
      <c r="Y298" s="53">
        <v>0</v>
      </c>
      <c r="Z298" s="53">
        <v>0</v>
      </c>
      <c r="AA298" s="53">
        <v>0</v>
      </c>
      <c r="AB298" s="54">
        <f t="shared" si="296"/>
        <v>8577562.7200000007</v>
      </c>
    </row>
    <row r="299" spans="1:28" s="31" customFormat="1" ht="52.5" customHeight="1" x14ac:dyDescent="0.35">
      <c r="A299" s="31">
        <v>2018</v>
      </c>
      <c r="B299" s="53">
        <f>IF(OR(E299=0,E299=""),"",COUNTA($E$21:E299))</f>
        <v>227</v>
      </c>
      <c r="C299" s="53" t="s">
        <v>563</v>
      </c>
      <c r="D299" s="58" t="s">
        <v>805</v>
      </c>
      <c r="E299" s="59">
        <v>1990</v>
      </c>
      <c r="F299" s="60">
        <v>7366.8</v>
      </c>
      <c r="G299" s="60">
        <v>4220.7</v>
      </c>
      <c r="H299" s="59">
        <v>3146.1</v>
      </c>
      <c r="I299" s="60" t="s">
        <v>33</v>
      </c>
      <c r="J299" s="60"/>
      <c r="K299" s="60"/>
      <c r="L299" s="60"/>
      <c r="M299" s="60"/>
      <c r="N299" s="60"/>
      <c r="O299" s="60"/>
      <c r="P299" s="60">
        <f t="shared" si="300"/>
        <v>12368857.199999999</v>
      </c>
      <c r="Q299" s="60"/>
      <c r="R299" s="60"/>
      <c r="S299" s="60"/>
      <c r="T299" s="60"/>
      <c r="U299" s="60">
        <f t="shared" si="298"/>
        <v>368340</v>
      </c>
      <c r="V299" s="61">
        <f t="shared" si="299"/>
        <v>264693.53999999998</v>
      </c>
      <c r="W299" s="62">
        <f t="shared" si="295"/>
        <v>13001890.74</v>
      </c>
      <c r="X299" s="60" t="s">
        <v>17</v>
      </c>
      <c r="Y299" s="53">
        <v>0</v>
      </c>
      <c r="Z299" s="53">
        <v>0</v>
      </c>
      <c r="AA299" s="53">
        <v>0</v>
      </c>
      <c r="AB299" s="54">
        <f t="shared" si="296"/>
        <v>13001890.74</v>
      </c>
    </row>
    <row r="300" spans="1:28" s="31" customFormat="1" ht="52.5" customHeight="1" x14ac:dyDescent="0.35">
      <c r="A300" s="31">
        <v>2018</v>
      </c>
      <c r="B300" s="53">
        <f>IF(OR(E300=0,E300=""),"",COUNTA($E$21:E300))</f>
        <v>228</v>
      </c>
      <c r="C300" s="53" t="s">
        <v>562</v>
      </c>
      <c r="D300" s="58" t="s">
        <v>806</v>
      </c>
      <c r="E300" s="59">
        <v>1965</v>
      </c>
      <c r="F300" s="60">
        <v>996.7</v>
      </c>
      <c r="G300" s="60">
        <v>860.4</v>
      </c>
      <c r="H300" s="60">
        <v>68.7</v>
      </c>
      <c r="I300" s="60" t="s">
        <v>35</v>
      </c>
      <c r="J300" s="60"/>
      <c r="K300" s="60"/>
      <c r="L300" s="60"/>
      <c r="M300" s="60"/>
      <c r="N300" s="60"/>
      <c r="O300" s="60"/>
      <c r="P300" s="60">
        <f>2013*F300</f>
        <v>2006357.1</v>
      </c>
      <c r="Q300" s="60"/>
      <c r="R300" s="60"/>
      <c r="S300" s="60"/>
      <c r="T300" s="60"/>
      <c r="U300" s="60">
        <f>50*F300</f>
        <v>49835</v>
      </c>
      <c r="V300" s="60">
        <f>(J300+K300+L300+M300+N300+O300+P300+Q300+R300+S300+T300)*0.0214</f>
        <v>42936.04</v>
      </c>
      <c r="W300" s="62">
        <f t="shared" si="295"/>
        <v>2099128.14</v>
      </c>
      <c r="X300" s="60" t="s">
        <v>17</v>
      </c>
      <c r="Y300" s="53">
        <v>0</v>
      </c>
      <c r="Z300" s="53">
        <v>0</v>
      </c>
      <c r="AA300" s="53">
        <v>0</v>
      </c>
      <c r="AB300" s="54">
        <f t="shared" si="296"/>
        <v>2099128.14</v>
      </c>
    </row>
    <row r="301" spans="1:28" s="31" customFormat="1" ht="52.5" customHeight="1" x14ac:dyDescent="0.35">
      <c r="A301" s="31">
        <v>2018</v>
      </c>
      <c r="B301" s="53">
        <f>IF(OR(E301=0,E301=""),"",COUNTA($E$21:E301))</f>
        <v>229</v>
      </c>
      <c r="C301" s="53" t="s">
        <v>571</v>
      </c>
      <c r="D301" s="58" t="s">
        <v>807</v>
      </c>
      <c r="E301" s="59">
        <v>1972</v>
      </c>
      <c r="F301" s="60">
        <v>2807.6</v>
      </c>
      <c r="G301" s="60">
        <v>1750.6</v>
      </c>
      <c r="H301" s="59">
        <v>1057</v>
      </c>
      <c r="I301" s="60" t="s">
        <v>33</v>
      </c>
      <c r="J301" s="60"/>
      <c r="K301" s="60"/>
      <c r="L301" s="60"/>
      <c r="M301" s="60"/>
      <c r="N301" s="60"/>
      <c r="O301" s="60"/>
      <c r="P301" s="60">
        <f t="shared" ref="P301:P303" si="301">1679*F301</f>
        <v>4713960.4000000004</v>
      </c>
      <c r="Q301" s="60"/>
      <c r="R301" s="60"/>
      <c r="S301" s="60"/>
      <c r="T301" s="60"/>
      <c r="U301" s="60">
        <f t="shared" ref="U301:U303" si="302">50*F301</f>
        <v>140380</v>
      </c>
      <c r="V301" s="61">
        <f t="shared" ref="V301:V303" si="303">(J301+K301+L301+M301+N301+O301+P301+Q301+R301+S301+T301)*0.0214</f>
        <v>100878.75</v>
      </c>
      <c r="W301" s="62">
        <f t="shared" si="295"/>
        <v>4955219.1500000004</v>
      </c>
      <c r="X301" s="60" t="s">
        <v>17</v>
      </c>
      <c r="Y301" s="53">
        <v>0</v>
      </c>
      <c r="Z301" s="53">
        <v>0</v>
      </c>
      <c r="AA301" s="53">
        <v>0</v>
      </c>
      <c r="AB301" s="54">
        <f t="shared" si="296"/>
        <v>4955219.1500000004</v>
      </c>
    </row>
    <row r="302" spans="1:28" s="31" customFormat="1" ht="52.5" customHeight="1" x14ac:dyDescent="0.35">
      <c r="B302" s="53">
        <f>IF(OR(E302=0,E302=""),"",COUNTA($E$21:E302))</f>
        <v>230</v>
      </c>
      <c r="C302" s="53" t="s">
        <v>565</v>
      </c>
      <c r="D302" s="58" t="s">
        <v>808</v>
      </c>
      <c r="E302" s="59">
        <v>1973</v>
      </c>
      <c r="F302" s="60">
        <v>670.1</v>
      </c>
      <c r="G302" s="60">
        <v>372.7</v>
      </c>
      <c r="H302" s="60">
        <v>0</v>
      </c>
      <c r="I302" s="60" t="s">
        <v>35</v>
      </c>
      <c r="J302" s="60"/>
      <c r="K302" s="60"/>
      <c r="L302" s="60"/>
      <c r="M302" s="60"/>
      <c r="N302" s="60"/>
      <c r="O302" s="60"/>
      <c r="P302" s="60"/>
      <c r="Q302" s="60"/>
      <c r="R302" s="60">
        <f>1657*F302</f>
        <v>1110355.7</v>
      </c>
      <c r="S302" s="60"/>
      <c r="T302" s="60"/>
      <c r="U302" s="60"/>
      <c r="V302" s="61"/>
      <c r="W302" s="62">
        <f t="shared" si="295"/>
        <v>1110355.7</v>
      </c>
      <c r="X302" s="60" t="s">
        <v>17</v>
      </c>
      <c r="Y302" s="53">
        <v>0</v>
      </c>
      <c r="Z302" s="53">
        <v>0</v>
      </c>
      <c r="AA302" s="53">
        <v>0</v>
      </c>
      <c r="AB302" s="54">
        <f t="shared" si="296"/>
        <v>1110355.7</v>
      </c>
    </row>
    <row r="303" spans="1:28" s="31" customFormat="1" ht="52.5" customHeight="1" x14ac:dyDescent="0.35">
      <c r="A303" s="31">
        <v>2018</v>
      </c>
      <c r="B303" s="53">
        <f>IF(OR(E303=0,E303=""),"",COUNTA($E$21:E303))</f>
        <v>231</v>
      </c>
      <c r="C303" s="53" t="s">
        <v>559</v>
      </c>
      <c r="D303" s="58" t="s">
        <v>809</v>
      </c>
      <c r="E303" s="59">
        <v>1978</v>
      </c>
      <c r="F303" s="60">
        <v>4204.3999999999996</v>
      </c>
      <c r="G303" s="60">
        <v>3234.8</v>
      </c>
      <c r="H303" s="59">
        <v>1031.7</v>
      </c>
      <c r="I303" s="60" t="s">
        <v>33</v>
      </c>
      <c r="J303" s="60"/>
      <c r="K303" s="60"/>
      <c r="L303" s="60"/>
      <c r="M303" s="60"/>
      <c r="N303" s="60"/>
      <c r="O303" s="60"/>
      <c r="P303" s="60">
        <f t="shared" si="301"/>
        <v>7059187.5999999996</v>
      </c>
      <c r="Q303" s="60"/>
      <c r="R303" s="60"/>
      <c r="S303" s="60"/>
      <c r="T303" s="60"/>
      <c r="U303" s="60">
        <f t="shared" si="302"/>
        <v>210220</v>
      </c>
      <c r="V303" s="61">
        <f t="shared" si="303"/>
        <v>151066.60999999999</v>
      </c>
      <c r="W303" s="62">
        <f t="shared" si="295"/>
        <v>7420474.21</v>
      </c>
      <c r="X303" s="60" t="s">
        <v>17</v>
      </c>
      <c r="Y303" s="53">
        <v>0</v>
      </c>
      <c r="Z303" s="53">
        <v>0</v>
      </c>
      <c r="AA303" s="53">
        <v>0</v>
      </c>
      <c r="AB303" s="54">
        <f t="shared" si="296"/>
        <v>7420474.21</v>
      </c>
    </row>
    <row r="304" spans="1:28" s="31" customFormat="1" ht="52.5" customHeight="1" x14ac:dyDescent="0.35">
      <c r="A304" s="31">
        <v>2018</v>
      </c>
      <c r="B304" s="53" t="str">
        <f>IF(OR(E304=0,E304=""),"",COUNTA($E$21:E304))</f>
        <v/>
      </c>
      <c r="C304" s="53"/>
      <c r="D304" s="58"/>
      <c r="E304" s="59"/>
      <c r="F304" s="54">
        <f>SUM(F293:F303)</f>
        <v>29648.3</v>
      </c>
      <c r="G304" s="54">
        <f>SUM(G293:G303)</f>
        <v>20831.2</v>
      </c>
      <c r="H304" s="54">
        <f>SUM(H293:H303)</f>
        <v>9148</v>
      </c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>
        <f>SUM(W293:W303)</f>
        <v>56462615.509999998</v>
      </c>
      <c r="X304" s="60"/>
      <c r="Y304" s="52">
        <v>0</v>
      </c>
      <c r="Z304" s="52">
        <v>0</v>
      </c>
      <c r="AA304" s="52">
        <v>0</v>
      </c>
      <c r="AB304" s="54">
        <f>SUM(AB293:AB303)</f>
        <v>56462615.509999998</v>
      </c>
    </row>
    <row r="305" spans="1:28" s="31" customFormat="1" ht="52.5" customHeight="1" x14ac:dyDescent="0.35">
      <c r="A305" s="31">
        <v>2018</v>
      </c>
      <c r="B305" s="53" t="str">
        <f>IF(OR(E305=0,E305=""),"",COUNTA($E$21:E305))</f>
        <v/>
      </c>
      <c r="C305" s="53"/>
      <c r="D305" s="85" t="s">
        <v>19</v>
      </c>
      <c r="E305" s="60"/>
      <c r="F305" s="54">
        <f>F24+F28+F31+F34+F39+F49+F52+F214+F221+F224+F227+F239+F246+F250+F253+F256+F263+F266+F271+F275+F278+F281+F288+F284+F291+F304</f>
        <v>549164.73</v>
      </c>
      <c r="G305" s="54">
        <f>G24+G28+G31+G34+G39+G49+G52+G214+G221+G224+G227+G239+G246+G250+G253+G256+G263+G266+G271+G275+G278+G281+G288+G284+G291+G304</f>
        <v>393367.87</v>
      </c>
      <c r="H305" s="54">
        <f>H24+H28+H31+H34+H39+H49+H52+H214+H221+H224+H227+H239+H246+H250+H253+H256+H263+H266+H271+H275+H278+H281+H288+H284+H291+H304</f>
        <v>44880.33</v>
      </c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>
        <f>W24+W28+W31+W34+W39+W49+W52+W214+W221+W224+W227+W239+W246+W250+W253+W256+W263+W266+W271+W275+W278+W281+W288+W284+W291+W304</f>
        <v>1336632746.6300001</v>
      </c>
      <c r="X305" s="54"/>
      <c r="Y305" s="53"/>
      <c r="Z305" s="53"/>
      <c r="AA305" s="53"/>
      <c r="AB305" s="54">
        <f>AB24+AB28+AB31+AB34+AB39+AB49+AB52+AB214+AB221+AB224+AB227+AB239+AB246+AB250+AB253+AB256+AB263+AB266+AB271+AB275+AB278+AB281+AB288+AB284+AB291+AB304</f>
        <v>1336632746.6300001</v>
      </c>
    </row>
    <row r="306" spans="1:28" s="34" customFormat="1" ht="52.5" customHeight="1" x14ac:dyDescent="0.35">
      <c r="A306" s="31">
        <v>2019</v>
      </c>
      <c r="B306" s="53"/>
      <c r="C306" s="53"/>
      <c r="D306" s="57" t="s">
        <v>20</v>
      </c>
      <c r="E306" s="53"/>
      <c r="F306" s="77"/>
      <c r="G306" s="77"/>
      <c r="H306" s="77"/>
      <c r="I306" s="54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54"/>
      <c r="W306" s="54"/>
      <c r="X306" s="59"/>
      <c r="Y306" s="59"/>
      <c r="Z306" s="59"/>
      <c r="AA306" s="59"/>
      <c r="AB306" s="54"/>
    </row>
    <row r="307" spans="1:28" s="31" customFormat="1" ht="52.5" customHeight="1" x14ac:dyDescent="0.35">
      <c r="A307" s="31">
        <v>2019</v>
      </c>
      <c r="B307" s="53" t="str">
        <f>IF(OR(E307=0,E307=""),"",COUNTA($E$307:E307))</f>
        <v/>
      </c>
      <c r="C307" s="53"/>
      <c r="D307" s="57" t="s">
        <v>86</v>
      </c>
      <c r="E307" s="57"/>
      <c r="F307" s="54"/>
      <c r="G307" s="54"/>
      <c r="H307" s="54"/>
      <c r="I307" s="54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59"/>
      <c r="Z307" s="59"/>
      <c r="AA307" s="59"/>
      <c r="AB307" s="54"/>
    </row>
    <row r="308" spans="1:28" s="31" customFormat="1" ht="52.5" customHeight="1" x14ac:dyDescent="0.35">
      <c r="A308" s="31">
        <v>2019</v>
      </c>
      <c r="B308" s="53">
        <f>IF(OR(E308=0,E308=""),"",COUNTA($E$307:E308))</f>
        <v>1</v>
      </c>
      <c r="C308" s="53" t="s">
        <v>105</v>
      </c>
      <c r="D308" s="58" t="s">
        <v>810</v>
      </c>
      <c r="E308" s="59">
        <v>1963</v>
      </c>
      <c r="F308" s="60">
        <v>650.29999999999995</v>
      </c>
      <c r="G308" s="60">
        <v>602.79999999999995</v>
      </c>
      <c r="H308" s="60">
        <v>0</v>
      </c>
      <c r="I308" s="60" t="s">
        <v>35</v>
      </c>
      <c r="J308" s="60"/>
      <c r="K308" s="60"/>
      <c r="L308" s="60"/>
      <c r="M308" s="60"/>
      <c r="N308" s="60"/>
      <c r="O308" s="60"/>
      <c r="P308" s="60">
        <f>1919*F308</f>
        <v>1247925.7</v>
      </c>
      <c r="Q308" s="60"/>
      <c r="R308" s="60">
        <f>1853*F308</f>
        <v>1205005.8999999999</v>
      </c>
      <c r="S308" s="60"/>
      <c r="T308" s="60"/>
      <c r="U308" s="60">
        <f>119*F308</f>
        <v>77385.7</v>
      </c>
      <c r="V308" s="60"/>
      <c r="W308" s="62">
        <f>V308+U308+T308+S308+R308+Q308+P308+O308+N308+M308+L308+K308+J308</f>
        <v>2530317.2999999998</v>
      </c>
      <c r="X308" s="60" t="s">
        <v>18</v>
      </c>
      <c r="Y308" s="59">
        <v>0</v>
      </c>
      <c r="Z308" s="59">
        <v>0</v>
      </c>
      <c r="AA308" s="59">
        <v>0</v>
      </c>
      <c r="AB308" s="54">
        <f>W308-(Y308+Z308+AA308)</f>
        <v>2530317.2999999998</v>
      </c>
    </row>
    <row r="309" spans="1:28" s="31" customFormat="1" ht="52.5" customHeight="1" x14ac:dyDescent="0.35">
      <c r="A309" s="31">
        <v>2019</v>
      </c>
      <c r="B309" s="53">
        <f>IF(OR(E309=0,E309=""),"",COUNTA($E$307:E309))</f>
        <v>2</v>
      </c>
      <c r="C309" s="53" t="s">
        <v>103</v>
      </c>
      <c r="D309" s="58" t="s">
        <v>811</v>
      </c>
      <c r="E309" s="59">
        <v>1964</v>
      </c>
      <c r="F309" s="60">
        <v>777.3</v>
      </c>
      <c r="G309" s="60">
        <v>716.7</v>
      </c>
      <c r="H309" s="60">
        <v>0</v>
      </c>
      <c r="I309" s="60" t="s">
        <v>35</v>
      </c>
      <c r="J309" s="60"/>
      <c r="K309" s="60"/>
      <c r="L309" s="60"/>
      <c r="M309" s="60"/>
      <c r="N309" s="60"/>
      <c r="O309" s="60"/>
      <c r="P309" s="60">
        <f t="shared" ref="P309:P310" si="304">1919*F309</f>
        <v>1491638.7</v>
      </c>
      <c r="Q309" s="60"/>
      <c r="R309" s="60">
        <f>1853*F309</f>
        <v>1440336.9</v>
      </c>
      <c r="S309" s="60"/>
      <c r="T309" s="60"/>
      <c r="U309" s="60">
        <f>119*F309</f>
        <v>92498.7</v>
      </c>
      <c r="V309" s="60"/>
      <c r="W309" s="62">
        <f>V309+U309+T309+S309+R309+Q309+P309+O309+N309+M309+L309+K309+J309</f>
        <v>3024474.3</v>
      </c>
      <c r="X309" s="60" t="s">
        <v>18</v>
      </c>
      <c r="Y309" s="59">
        <v>0</v>
      </c>
      <c r="Z309" s="59">
        <v>0</v>
      </c>
      <c r="AA309" s="59">
        <v>0</v>
      </c>
      <c r="AB309" s="54">
        <f>W309-(Y309+Z309+AA309)</f>
        <v>3024474.3</v>
      </c>
    </row>
    <row r="310" spans="1:28" s="31" customFormat="1" ht="52.5" customHeight="1" x14ac:dyDescent="0.35">
      <c r="A310" s="31">
        <v>2019</v>
      </c>
      <c r="B310" s="53">
        <f>IF(OR(E310=0,E310=""),"",COUNTA($E$307:E310))</f>
        <v>3</v>
      </c>
      <c r="C310" s="53" t="s">
        <v>101</v>
      </c>
      <c r="D310" s="58" t="s">
        <v>812</v>
      </c>
      <c r="E310" s="59">
        <v>1965</v>
      </c>
      <c r="F310" s="60">
        <v>697.7</v>
      </c>
      <c r="G310" s="60">
        <v>633.79999999999995</v>
      </c>
      <c r="H310" s="60">
        <v>34.6</v>
      </c>
      <c r="I310" s="60" t="s">
        <v>35</v>
      </c>
      <c r="J310" s="60"/>
      <c r="K310" s="60"/>
      <c r="L310" s="60"/>
      <c r="M310" s="60"/>
      <c r="N310" s="60"/>
      <c r="O310" s="60"/>
      <c r="P310" s="60">
        <f t="shared" si="304"/>
        <v>1338886.3</v>
      </c>
      <c r="Q310" s="60"/>
      <c r="R310" s="60">
        <f>1853*F310</f>
        <v>1292838.1000000001</v>
      </c>
      <c r="S310" s="60"/>
      <c r="T310" s="60"/>
      <c r="U310" s="60">
        <f>119*F310</f>
        <v>83026.3</v>
      </c>
      <c r="V310" s="60"/>
      <c r="W310" s="62">
        <f>V310+U310+T310+S310+R310+Q310+P310+O310+N310+M310+L310+K310+J310</f>
        <v>2714750.7</v>
      </c>
      <c r="X310" s="60" t="s">
        <v>18</v>
      </c>
      <c r="Y310" s="59">
        <v>0</v>
      </c>
      <c r="Z310" s="59">
        <v>0</v>
      </c>
      <c r="AA310" s="59">
        <v>0</v>
      </c>
      <c r="AB310" s="54">
        <f>W310-(Y310+Z310+AA310)</f>
        <v>2714750.7</v>
      </c>
    </row>
    <row r="311" spans="1:28" s="31" customFormat="1" ht="52.5" customHeight="1" x14ac:dyDescent="0.35">
      <c r="A311" s="31">
        <v>2019</v>
      </c>
      <c r="B311" s="53" t="str">
        <f>IF(OR(E311=0,E311=""),"",COUNTA($E$307:E311))</f>
        <v/>
      </c>
      <c r="C311" s="53"/>
      <c r="D311" s="58"/>
      <c r="E311" s="59"/>
      <c r="F311" s="54">
        <f>SUM(F308:F310)</f>
        <v>2125.3000000000002</v>
      </c>
      <c r="G311" s="54">
        <f>SUM(G308:G310)</f>
        <v>1953.3</v>
      </c>
      <c r="H311" s="54">
        <f>SUM(H308:H310)</f>
        <v>34.6</v>
      </c>
      <c r="I311" s="54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54">
        <f>SUM(W308:W310)</f>
        <v>8269542.2999999998</v>
      </c>
      <c r="X311" s="60"/>
      <c r="Y311" s="52">
        <v>0</v>
      </c>
      <c r="Z311" s="52">
        <v>0</v>
      </c>
      <c r="AA311" s="52">
        <v>0</v>
      </c>
      <c r="AB311" s="54">
        <f>W311-(Y311+Z311+AA311)</f>
        <v>8269542.2999999998</v>
      </c>
    </row>
    <row r="312" spans="1:28" s="33" customFormat="1" ht="52.5" customHeight="1" x14ac:dyDescent="0.35">
      <c r="A312" s="31">
        <v>2019</v>
      </c>
      <c r="B312" s="53" t="str">
        <f>IF(OR(E312=0,E312=""),"",COUNTA($E$307:E312))</f>
        <v/>
      </c>
      <c r="C312" s="53"/>
      <c r="D312" s="57" t="s">
        <v>90</v>
      </c>
      <c r="E312" s="57"/>
      <c r="F312" s="54"/>
      <c r="G312" s="54"/>
      <c r="H312" s="54"/>
      <c r="I312" s="54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59"/>
      <c r="Z312" s="59"/>
      <c r="AA312" s="59"/>
      <c r="AB312" s="54"/>
    </row>
    <row r="313" spans="1:28" s="31" customFormat="1" ht="52.5" customHeight="1" x14ac:dyDescent="0.35">
      <c r="A313" s="31">
        <v>2019</v>
      </c>
      <c r="B313" s="53">
        <f>IF(OR(E313=0,E313=""),"",COUNTA($E$307:E313))</f>
        <v>4</v>
      </c>
      <c r="C313" s="53" t="s">
        <v>106</v>
      </c>
      <c r="D313" s="58" t="s">
        <v>813</v>
      </c>
      <c r="E313" s="59">
        <v>1962</v>
      </c>
      <c r="F313" s="60">
        <v>633.20000000000005</v>
      </c>
      <c r="G313" s="60">
        <v>439.6</v>
      </c>
      <c r="H313" s="60">
        <v>0</v>
      </c>
      <c r="I313" s="60" t="s">
        <v>35</v>
      </c>
      <c r="J313" s="60"/>
      <c r="K313" s="60"/>
      <c r="L313" s="60"/>
      <c r="M313" s="60"/>
      <c r="N313" s="60"/>
      <c r="O313" s="60"/>
      <c r="P313" s="60">
        <f t="shared" ref="P313:P315" si="305">1919*F313</f>
        <v>1215110.8</v>
      </c>
      <c r="Q313" s="60"/>
      <c r="R313" s="60">
        <f>1853*F313</f>
        <v>1173319.6000000001</v>
      </c>
      <c r="S313" s="60"/>
      <c r="T313" s="60"/>
      <c r="U313" s="60"/>
      <c r="V313" s="60"/>
      <c r="W313" s="62">
        <f>V313+U313+T313+S313+R313+Q313+P313+O313+N313+M313+L313+K313+J313</f>
        <v>2388430.4</v>
      </c>
      <c r="X313" s="60" t="s">
        <v>18</v>
      </c>
      <c r="Y313" s="59">
        <v>0</v>
      </c>
      <c r="Z313" s="59">
        <v>0</v>
      </c>
      <c r="AA313" s="59">
        <v>0</v>
      </c>
      <c r="AB313" s="54">
        <f>W313-(Y313+Z313+AA313)</f>
        <v>2388430.4</v>
      </c>
    </row>
    <row r="314" spans="1:28" s="31" customFormat="1" ht="52.5" customHeight="1" x14ac:dyDescent="0.35">
      <c r="A314" s="31">
        <v>2019</v>
      </c>
      <c r="B314" s="53">
        <f>IF(OR(E314=0,E314=""),"",COUNTA($E$307:E314))</f>
        <v>5</v>
      </c>
      <c r="C314" s="53" t="s">
        <v>107</v>
      </c>
      <c r="D314" s="58" t="s">
        <v>814</v>
      </c>
      <c r="E314" s="67">
        <v>1966</v>
      </c>
      <c r="F314" s="68">
        <v>782.3</v>
      </c>
      <c r="G314" s="68">
        <v>470.2</v>
      </c>
      <c r="H314" s="68">
        <v>312.10000000000002</v>
      </c>
      <c r="I314" s="60" t="s">
        <v>35</v>
      </c>
      <c r="J314" s="60"/>
      <c r="K314" s="60"/>
      <c r="L314" s="60"/>
      <c r="M314" s="60"/>
      <c r="N314" s="60"/>
      <c r="O314" s="60"/>
      <c r="P314" s="60">
        <f t="shared" si="305"/>
        <v>1501233.7</v>
      </c>
      <c r="Q314" s="60"/>
      <c r="R314" s="60">
        <f>1853*F314</f>
        <v>1449601.9</v>
      </c>
      <c r="S314" s="60"/>
      <c r="T314" s="60"/>
      <c r="U314" s="60"/>
      <c r="V314" s="60"/>
      <c r="W314" s="62">
        <f>V314+U314+T314+S314+R314+Q314+P314+O314+N314+M314+L314+K314+J314</f>
        <v>2950835.6</v>
      </c>
      <c r="X314" s="60" t="s">
        <v>18</v>
      </c>
      <c r="Y314" s="59">
        <v>0</v>
      </c>
      <c r="Z314" s="59">
        <v>0</v>
      </c>
      <c r="AA314" s="59">
        <v>0</v>
      </c>
      <c r="AB314" s="54">
        <f>W314-(Y314+Z314+AA314)</f>
        <v>2950835.6</v>
      </c>
    </row>
    <row r="315" spans="1:28" s="31" customFormat="1" ht="52.5" customHeight="1" x14ac:dyDescent="0.35">
      <c r="A315" s="31">
        <v>2019</v>
      </c>
      <c r="B315" s="53">
        <f>IF(OR(E315=0,E315=""),"",COUNTA($E$307:E315))</f>
        <v>6</v>
      </c>
      <c r="C315" s="53" t="s">
        <v>108</v>
      </c>
      <c r="D315" s="58" t="s">
        <v>815</v>
      </c>
      <c r="E315" s="67">
        <v>1966</v>
      </c>
      <c r="F315" s="68">
        <v>615.4</v>
      </c>
      <c r="G315" s="68">
        <v>412.8</v>
      </c>
      <c r="H315" s="68">
        <v>202.6</v>
      </c>
      <c r="I315" s="60" t="s">
        <v>35</v>
      </c>
      <c r="J315" s="60"/>
      <c r="K315" s="60"/>
      <c r="L315" s="60"/>
      <c r="M315" s="60"/>
      <c r="N315" s="60"/>
      <c r="O315" s="60"/>
      <c r="P315" s="60">
        <f t="shared" si="305"/>
        <v>1180952.6000000001</v>
      </c>
      <c r="Q315" s="60"/>
      <c r="R315" s="60">
        <f>1853*F315</f>
        <v>1140336.2</v>
      </c>
      <c r="S315" s="60"/>
      <c r="T315" s="60"/>
      <c r="U315" s="60">
        <f>119*F315</f>
        <v>73232.600000000006</v>
      </c>
      <c r="V315" s="60"/>
      <c r="W315" s="62">
        <f>V315+U315+T315+S315+R315+Q315+P315+O315+N315+M315+L315+K315+J315</f>
        <v>2394521.4</v>
      </c>
      <c r="X315" s="60" t="s">
        <v>18</v>
      </c>
      <c r="Y315" s="59">
        <v>0</v>
      </c>
      <c r="Z315" s="59">
        <v>0</v>
      </c>
      <c r="AA315" s="59">
        <v>0</v>
      </c>
      <c r="AB315" s="54">
        <f>W315-(Y315+Z315+AA315)</f>
        <v>2394521.4</v>
      </c>
    </row>
    <row r="316" spans="1:28" s="31" customFormat="1" ht="52.5" customHeight="1" x14ac:dyDescent="0.35">
      <c r="A316" s="31">
        <v>2019</v>
      </c>
      <c r="B316" s="53" t="str">
        <f>IF(OR(E316=0,E316=""),"",COUNTA($E$307:E316))</f>
        <v/>
      </c>
      <c r="C316" s="53"/>
      <c r="D316" s="58"/>
      <c r="E316" s="67"/>
      <c r="F316" s="69">
        <f>SUM(F313:F315)</f>
        <v>2030.9</v>
      </c>
      <c r="G316" s="69">
        <f>SUM(G313:G315)</f>
        <v>1322.6</v>
      </c>
      <c r="H316" s="69">
        <f>SUM(H313:H315)</f>
        <v>514.70000000000005</v>
      </c>
      <c r="I316" s="54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54">
        <f>SUM(W313:W315)</f>
        <v>7733787.4000000004</v>
      </c>
      <c r="X316" s="60"/>
      <c r="Y316" s="52">
        <v>0</v>
      </c>
      <c r="Z316" s="52">
        <v>0</v>
      </c>
      <c r="AA316" s="52">
        <v>0</v>
      </c>
      <c r="AB316" s="54">
        <f>SUM(AB313:AB315)</f>
        <v>7733787.4000000004</v>
      </c>
    </row>
    <row r="317" spans="1:28" s="33" customFormat="1" ht="52.5" customHeight="1" x14ac:dyDescent="0.35">
      <c r="A317" s="31">
        <v>2019</v>
      </c>
      <c r="B317" s="53" t="str">
        <f>IF(OR(E317=0,E317=""),"",COUNTA($E$307:E317))</f>
        <v/>
      </c>
      <c r="C317" s="53"/>
      <c r="D317" s="57" t="s">
        <v>816</v>
      </c>
      <c r="E317" s="57"/>
      <c r="F317" s="54"/>
      <c r="G317" s="54"/>
      <c r="H317" s="54"/>
      <c r="I317" s="54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59"/>
      <c r="Z317" s="59"/>
      <c r="AA317" s="59"/>
      <c r="AB317" s="54"/>
    </row>
    <row r="318" spans="1:28" s="31" customFormat="1" ht="52.5" customHeight="1" x14ac:dyDescent="0.35">
      <c r="A318" s="31">
        <v>2019</v>
      </c>
      <c r="B318" s="53">
        <f>IF(OR(E318=0,E318=""),"",COUNTA($E$307:E318))</f>
        <v>7</v>
      </c>
      <c r="C318" s="53" t="s">
        <v>121</v>
      </c>
      <c r="D318" s="58" t="s">
        <v>817</v>
      </c>
      <c r="E318" s="59">
        <v>1964</v>
      </c>
      <c r="F318" s="60">
        <v>5068.8</v>
      </c>
      <c r="G318" s="60">
        <v>3812</v>
      </c>
      <c r="H318" s="60">
        <v>0</v>
      </c>
      <c r="I318" s="60" t="s">
        <v>33</v>
      </c>
      <c r="J318" s="60"/>
      <c r="K318" s="60"/>
      <c r="L318" s="60"/>
      <c r="M318" s="60"/>
      <c r="N318" s="60"/>
      <c r="O318" s="60"/>
      <c r="P318" s="60">
        <f>1972*F318</f>
        <v>9995673.5999999996</v>
      </c>
      <c r="Q318" s="60"/>
      <c r="R318" s="60">
        <f>1917*F318</f>
        <v>9716889.5999999996</v>
      </c>
      <c r="S318" s="60"/>
      <c r="T318" s="60"/>
      <c r="U318" s="60">
        <f>97*F318</f>
        <v>491673.59999999998</v>
      </c>
      <c r="V318" s="61"/>
      <c r="W318" s="62">
        <f t="shared" ref="W318:W352" si="306">V318+U318+T318+S318+R318+Q318+P318+O318+N318+M318+L318+K318+J318</f>
        <v>20204236.800000001</v>
      </c>
      <c r="X318" s="60" t="s">
        <v>18</v>
      </c>
      <c r="Y318" s="59">
        <v>0</v>
      </c>
      <c r="Z318" s="59">
        <v>0</v>
      </c>
      <c r="AA318" s="59">
        <v>0</v>
      </c>
      <c r="AB318" s="54">
        <f t="shared" ref="AB318:AB352" si="307">W318-(Y318+Z318+AA318)</f>
        <v>20204236.800000001</v>
      </c>
    </row>
    <row r="319" spans="1:28" s="31" customFormat="1" ht="52.5" customHeight="1" x14ac:dyDescent="0.35">
      <c r="A319" s="31">
        <v>2019</v>
      </c>
      <c r="B319" s="53">
        <f>IF(OR(E319=0,E319=""),"",COUNTA($E$307:E319))</f>
        <v>8</v>
      </c>
      <c r="C319" s="53" t="s">
        <v>122</v>
      </c>
      <c r="D319" s="58" t="s">
        <v>818</v>
      </c>
      <c r="E319" s="59">
        <v>1965</v>
      </c>
      <c r="F319" s="60">
        <v>4970.8999999999996</v>
      </c>
      <c r="G319" s="60">
        <v>3812</v>
      </c>
      <c r="H319" s="60">
        <v>0</v>
      </c>
      <c r="I319" s="60" t="s">
        <v>33</v>
      </c>
      <c r="J319" s="60"/>
      <c r="K319" s="60"/>
      <c r="L319" s="60"/>
      <c r="M319" s="60"/>
      <c r="N319" s="60"/>
      <c r="O319" s="60"/>
      <c r="P319" s="60">
        <f>1972*F319</f>
        <v>9802614.8000000007</v>
      </c>
      <c r="Q319" s="60"/>
      <c r="R319" s="60">
        <f>1917*F319</f>
        <v>9529215.3000000007</v>
      </c>
      <c r="S319" s="60"/>
      <c r="T319" s="60"/>
      <c r="U319" s="60">
        <f>97*F319</f>
        <v>482177.3</v>
      </c>
      <c r="V319" s="61"/>
      <c r="W319" s="62">
        <f t="shared" si="306"/>
        <v>19814007.399999999</v>
      </c>
      <c r="X319" s="60" t="s">
        <v>18</v>
      </c>
      <c r="Y319" s="59">
        <v>0</v>
      </c>
      <c r="Z319" s="59">
        <v>0</v>
      </c>
      <c r="AA319" s="59">
        <v>0</v>
      </c>
      <c r="AB319" s="54">
        <f t="shared" si="307"/>
        <v>19814007.399999999</v>
      </c>
    </row>
    <row r="320" spans="1:28" s="31" customFormat="1" ht="52.5" customHeight="1" x14ac:dyDescent="0.35">
      <c r="A320" s="31">
        <v>2019</v>
      </c>
      <c r="B320" s="53">
        <f>IF(OR(E320=0,E320=""),"",COUNTA($E$307:E320))</f>
        <v>9</v>
      </c>
      <c r="C320" s="53" t="s">
        <v>129</v>
      </c>
      <c r="D320" s="58" t="s">
        <v>819</v>
      </c>
      <c r="E320" s="59">
        <v>1964</v>
      </c>
      <c r="F320" s="60">
        <v>5023.2</v>
      </c>
      <c r="G320" s="60">
        <v>3801.3</v>
      </c>
      <c r="H320" s="60">
        <v>0</v>
      </c>
      <c r="I320" s="60" t="s">
        <v>33</v>
      </c>
      <c r="J320" s="60"/>
      <c r="K320" s="60"/>
      <c r="L320" s="60"/>
      <c r="M320" s="60"/>
      <c r="N320" s="60"/>
      <c r="O320" s="60"/>
      <c r="P320" s="60">
        <f>1972*F320</f>
        <v>9905750.4000000004</v>
      </c>
      <c r="Q320" s="60"/>
      <c r="R320" s="60">
        <f>1917*F320</f>
        <v>9629474.4000000004</v>
      </c>
      <c r="S320" s="60"/>
      <c r="T320" s="60"/>
      <c r="U320" s="60">
        <f>97*F320</f>
        <v>487250.4</v>
      </c>
      <c r="V320" s="61"/>
      <c r="W320" s="62">
        <f t="shared" si="306"/>
        <v>20022475.199999999</v>
      </c>
      <c r="X320" s="60" t="s">
        <v>18</v>
      </c>
      <c r="Y320" s="59">
        <v>0</v>
      </c>
      <c r="Z320" s="59">
        <v>0</v>
      </c>
      <c r="AA320" s="59">
        <v>0</v>
      </c>
      <c r="AB320" s="54">
        <f t="shared" si="307"/>
        <v>20022475.199999999</v>
      </c>
    </row>
    <row r="321" spans="1:39" s="31" customFormat="1" ht="52.5" customHeight="1" x14ac:dyDescent="0.35">
      <c r="A321" s="31">
        <v>2019</v>
      </c>
      <c r="B321" s="53">
        <f>IF(OR(E321=0,E321=""),"",COUNTA($E$307:E321))</f>
        <v>10</v>
      </c>
      <c r="C321" s="53" t="s">
        <v>132</v>
      </c>
      <c r="D321" s="58" t="s">
        <v>820</v>
      </c>
      <c r="E321" s="59">
        <v>1964</v>
      </c>
      <c r="F321" s="59">
        <v>4816</v>
      </c>
      <c r="G321" s="60">
        <v>3701.2</v>
      </c>
      <c r="H321" s="60">
        <v>89.8</v>
      </c>
      <c r="I321" s="60" t="s">
        <v>33</v>
      </c>
      <c r="J321" s="60"/>
      <c r="K321" s="60"/>
      <c r="L321" s="60"/>
      <c r="M321" s="60"/>
      <c r="N321" s="60"/>
      <c r="O321" s="60"/>
      <c r="P321" s="60">
        <f>1972*F321</f>
        <v>9497152</v>
      </c>
      <c r="Q321" s="60"/>
      <c r="R321" s="60">
        <f>1917*F321</f>
        <v>9232272</v>
      </c>
      <c r="S321" s="60"/>
      <c r="T321" s="60"/>
      <c r="U321" s="60">
        <f>97*F321</f>
        <v>467152</v>
      </c>
      <c r="V321" s="61"/>
      <c r="W321" s="62">
        <f t="shared" si="306"/>
        <v>19196576</v>
      </c>
      <c r="X321" s="60" t="s">
        <v>18</v>
      </c>
      <c r="Y321" s="59">
        <v>0</v>
      </c>
      <c r="Z321" s="59">
        <v>0</v>
      </c>
      <c r="AA321" s="59">
        <v>0</v>
      </c>
      <c r="AB321" s="54">
        <f t="shared" si="307"/>
        <v>19196576</v>
      </c>
    </row>
    <row r="322" spans="1:39" s="31" customFormat="1" ht="52.5" customHeight="1" x14ac:dyDescent="0.35">
      <c r="A322" s="31">
        <v>2019</v>
      </c>
      <c r="B322" s="53">
        <f>IF(OR(E322=0,E322=""),"",COUNTA($E$307:E322))</f>
        <v>11</v>
      </c>
      <c r="C322" s="53" t="s">
        <v>133</v>
      </c>
      <c r="D322" s="58" t="s">
        <v>821</v>
      </c>
      <c r="E322" s="59">
        <v>1964</v>
      </c>
      <c r="F322" s="60">
        <v>4821.5</v>
      </c>
      <c r="G322" s="60">
        <v>3758.1</v>
      </c>
      <c r="H322" s="60">
        <v>0</v>
      </c>
      <c r="I322" s="60" t="s">
        <v>33</v>
      </c>
      <c r="J322" s="60"/>
      <c r="K322" s="60"/>
      <c r="L322" s="60"/>
      <c r="M322" s="60"/>
      <c r="N322" s="60"/>
      <c r="O322" s="60"/>
      <c r="P322" s="60">
        <f>1972*F322</f>
        <v>9507998</v>
      </c>
      <c r="Q322" s="60"/>
      <c r="R322" s="60">
        <f>1917*F322</f>
        <v>9242815.5</v>
      </c>
      <c r="S322" s="60"/>
      <c r="T322" s="60"/>
      <c r="U322" s="60">
        <f>97*F322</f>
        <v>467685.5</v>
      </c>
      <c r="V322" s="61"/>
      <c r="W322" s="62">
        <f t="shared" si="306"/>
        <v>19218499</v>
      </c>
      <c r="X322" s="60" t="s">
        <v>18</v>
      </c>
      <c r="Y322" s="59">
        <v>0</v>
      </c>
      <c r="Z322" s="59">
        <v>0</v>
      </c>
      <c r="AA322" s="59">
        <v>0</v>
      </c>
      <c r="AB322" s="54">
        <f t="shared" si="307"/>
        <v>19218499</v>
      </c>
    </row>
    <row r="323" spans="1:39" s="38" customFormat="1" ht="52.5" customHeight="1" x14ac:dyDescent="0.35">
      <c r="A323" s="31">
        <v>2019</v>
      </c>
      <c r="B323" s="53">
        <f>IF(OR(E323=0,E323=""),"",COUNTA($E$307:E323))</f>
        <v>12</v>
      </c>
      <c r="C323" s="53" t="s">
        <v>111</v>
      </c>
      <c r="D323" s="58" t="s">
        <v>822</v>
      </c>
      <c r="E323" s="59">
        <v>1973</v>
      </c>
      <c r="F323" s="59">
        <v>3448</v>
      </c>
      <c r="G323" s="60">
        <v>2360.5</v>
      </c>
      <c r="H323" s="60">
        <v>0</v>
      </c>
      <c r="I323" s="60" t="s">
        <v>31</v>
      </c>
      <c r="J323" s="60"/>
      <c r="K323" s="60"/>
      <c r="L323" s="60"/>
      <c r="M323" s="60"/>
      <c r="N323" s="60"/>
      <c r="O323" s="60">
        <f>2150000*1</f>
        <v>2150000</v>
      </c>
      <c r="P323" s="60">
        <f>346*F323</f>
        <v>1193008</v>
      </c>
      <c r="Q323" s="60"/>
      <c r="R323" s="60">
        <f>1232*F323</f>
        <v>4247936</v>
      </c>
      <c r="S323" s="60"/>
      <c r="T323" s="60"/>
      <c r="U323" s="60">
        <f>127*F323</f>
        <v>437896</v>
      </c>
      <c r="V323" s="60"/>
      <c r="W323" s="62">
        <f t="shared" si="306"/>
        <v>8028840</v>
      </c>
      <c r="X323" s="60" t="s">
        <v>18</v>
      </c>
      <c r="Y323" s="59">
        <v>0</v>
      </c>
      <c r="Z323" s="59">
        <v>0</v>
      </c>
      <c r="AA323" s="59">
        <v>0</v>
      </c>
      <c r="AB323" s="54">
        <f t="shared" si="307"/>
        <v>8028840</v>
      </c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</row>
    <row r="324" spans="1:39" s="38" customFormat="1" ht="52.5" customHeight="1" x14ac:dyDescent="0.35">
      <c r="A324" s="31">
        <v>2019</v>
      </c>
      <c r="B324" s="53">
        <f>IF(OR(E324=0,E324=""),"",COUNTA($E$307:E324))</f>
        <v>13</v>
      </c>
      <c r="C324" s="53" t="s">
        <v>112</v>
      </c>
      <c r="D324" s="58" t="s">
        <v>823</v>
      </c>
      <c r="E324" s="59">
        <v>1973</v>
      </c>
      <c r="F324" s="60">
        <v>3085.6</v>
      </c>
      <c r="G324" s="60">
        <v>1962.3</v>
      </c>
      <c r="H324" s="60">
        <v>1123.3</v>
      </c>
      <c r="I324" s="60" t="s">
        <v>31</v>
      </c>
      <c r="J324" s="60"/>
      <c r="K324" s="60"/>
      <c r="L324" s="60"/>
      <c r="M324" s="60"/>
      <c r="N324" s="60"/>
      <c r="O324" s="60"/>
      <c r="P324" s="60">
        <f>346*F324</f>
        <v>1067617.6000000001</v>
      </c>
      <c r="Q324" s="60"/>
      <c r="R324" s="60">
        <f>1232*F324</f>
        <v>3801459.2</v>
      </c>
      <c r="S324" s="60"/>
      <c r="T324" s="60"/>
      <c r="U324" s="60">
        <f>127*F324</f>
        <v>391871.2</v>
      </c>
      <c r="V324" s="60"/>
      <c r="W324" s="62">
        <f t="shared" si="306"/>
        <v>5260948</v>
      </c>
      <c r="X324" s="60" t="s">
        <v>18</v>
      </c>
      <c r="Y324" s="59">
        <v>0</v>
      </c>
      <c r="Z324" s="59">
        <v>0</v>
      </c>
      <c r="AA324" s="59">
        <v>0</v>
      </c>
      <c r="AB324" s="54">
        <f t="shared" si="307"/>
        <v>5260948</v>
      </c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</row>
    <row r="325" spans="1:39" s="31" customFormat="1" ht="52.5" customHeight="1" x14ac:dyDescent="0.35">
      <c r="A325" s="31">
        <v>2019</v>
      </c>
      <c r="B325" s="53">
        <f>IF(OR(E325=0,E325=""),"",COUNTA($E$307:E325))</f>
        <v>14</v>
      </c>
      <c r="C325" s="53" t="s">
        <v>141</v>
      </c>
      <c r="D325" s="58" t="s">
        <v>824</v>
      </c>
      <c r="E325" s="59">
        <v>1968</v>
      </c>
      <c r="F325" s="59">
        <v>1112</v>
      </c>
      <c r="G325" s="60">
        <v>408.8</v>
      </c>
      <c r="H325" s="60">
        <v>0</v>
      </c>
      <c r="I325" s="60" t="s">
        <v>35</v>
      </c>
      <c r="J325" s="60"/>
      <c r="K325" s="60"/>
      <c r="L325" s="60"/>
      <c r="M325" s="60"/>
      <c r="N325" s="60"/>
      <c r="O325" s="60"/>
      <c r="P325" s="60">
        <f>1919*F325</f>
        <v>2133928</v>
      </c>
      <c r="Q325" s="60"/>
      <c r="R325" s="60">
        <f>1853*F325</f>
        <v>2060536</v>
      </c>
      <c r="S325" s="60"/>
      <c r="T325" s="60"/>
      <c r="U325" s="60">
        <f>119*F325</f>
        <v>132328</v>
      </c>
      <c r="V325" s="60"/>
      <c r="W325" s="62">
        <f t="shared" si="306"/>
        <v>4326792</v>
      </c>
      <c r="X325" s="60" t="s">
        <v>18</v>
      </c>
      <c r="Y325" s="59">
        <v>0</v>
      </c>
      <c r="Z325" s="59">
        <v>0</v>
      </c>
      <c r="AA325" s="59">
        <v>0</v>
      </c>
      <c r="AB325" s="54">
        <f t="shared" si="307"/>
        <v>4326792</v>
      </c>
    </row>
    <row r="326" spans="1:39" s="38" customFormat="1" ht="52.5" customHeight="1" x14ac:dyDescent="0.35">
      <c r="A326" s="31">
        <v>2019</v>
      </c>
      <c r="B326" s="53">
        <f>IF(OR(E326=0,E326=""),"",COUNTA($E$307:E326))</f>
        <v>15</v>
      </c>
      <c r="C326" s="53" t="s">
        <v>110</v>
      </c>
      <c r="D326" s="58" t="s">
        <v>825</v>
      </c>
      <c r="E326" s="59">
        <v>1980</v>
      </c>
      <c r="F326" s="59">
        <v>10609.4</v>
      </c>
      <c r="G326" s="60">
        <v>5992.2</v>
      </c>
      <c r="H326" s="60">
        <v>746.5</v>
      </c>
      <c r="I326" s="60" t="s">
        <v>31</v>
      </c>
      <c r="J326" s="60"/>
      <c r="K326" s="60"/>
      <c r="L326" s="60"/>
      <c r="M326" s="60"/>
      <c r="N326" s="60"/>
      <c r="O326" s="60">
        <v>6450000</v>
      </c>
      <c r="P326" s="60"/>
      <c r="Q326" s="60"/>
      <c r="R326" s="60"/>
      <c r="S326" s="60"/>
      <c r="T326" s="60"/>
      <c r="U326" s="60">
        <f t="shared" ref="U326:U337" si="308">22*F326</f>
        <v>233406.8</v>
      </c>
      <c r="V326" s="60"/>
      <c r="W326" s="62">
        <f t="shared" si="306"/>
        <v>6683406.7999999998</v>
      </c>
      <c r="X326" s="60" t="s">
        <v>18</v>
      </c>
      <c r="Y326" s="59">
        <v>0</v>
      </c>
      <c r="Z326" s="59">
        <v>0</v>
      </c>
      <c r="AA326" s="59">
        <v>0</v>
      </c>
      <c r="AB326" s="54">
        <f t="shared" si="307"/>
        <v>6683406.7999999998</v>
      </c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</row>
    <row r="327" spans="1:39" s="38" customFormat="1" ht="52.5" customHeight="1" x14ac:dyDescent="0.35">
      <c r="A327" s="31">
        <v>2019</v>
      </c>
      <c r="B327" s="53">
        <f>IF(OR(E327=0,E327=""),"",COUNTA($E$307:E327))</f>
        <v>16</v>
      </c>
      <c r="C327" s="53" t="s">
        <v>138</v>
      </c>
      <c r="D327" s="58" t="s">
        <v>826</v>
      </c>
      <c r="E327" s="59">
        <v>1981</v>
      </c>
      <c r="F327" s="60">
        <v>11481.8</v>
      </c>
      <c r="G327" s="60">
        <v>7516.6</v>
      </c>
      <c r="H327" s="60">
        <v>3965.2</v>
      </c>
      <c r="I327" s="60" t="s">
        <v>31</v>
      </c>
      <c r="J327" s="60"/>
      <c r="K327" s="60"/>
      <c r="L327" s="60"/>
      <c r="M327" s="60"/>
      <c r="N327" s="60"/>
      <c r="O327" s="60">
        <f>2150000*4</f>
        <v>8600000</v>
      </c>
      <c r="P327" s="60"/>
      <c r="Q327" s="60"/>
      <c r="R327" s="60"/>
      <c r="S327" s="60"/>
      <c r="T327" s="60"/>
      <c r="U327" s="60">
        <f t="shared" si="308"/>
        <v>252599.6</v>
      </c>
      <c r="V327" s="60"/>
      <c r="W327" s="62">
        <f t="shared" si="306"/>
        <v>8852599.5999999996</v>
      </c>
      <c r="X327" s="60" t="s">
        <v>18</v>
      </c>
      <c r="Y327" s="59">
        <v>0</v>
      </c>
      <c r="Z327" s="59">
        <v>0</v>
      </c>
      <c r="AA327" s="59">
        <v>0</v>
      </c>
      <c r="AB327" s="54">
        <f t="shared" si="307"/>
        <v>8852599.5999999996</v>
      </c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</row>
    <row r="328" spans="1:39" s="38" customFormat="1" ht="52.5" customHeight="1" x14ac:dyDescent="0.35">
      <c r="A328" s="31">
        <v>2019</v>
      </c>
      <c r="B328" s="53">
        <f>IF(OR(E328=0,E328=""),"",COUNTA($E$307:E328))</f>
        <v>17</v>
      </c>
      <c r="C328" s="53" t="s">
        <v>136</v>
      </c>
      <c r="D328" s="58" t="s">
        <v>827</v>
      </c>
      <c r="E328" s="59">
        <v>1982</v>
      </c>
      <c r="F328" s="59">
        <v>17616.46</v>
      </c>
      <c r="G328" s="60">
        <v>12001.9</v>
      </c>
      <c r="H328" s="60">
        <v>0</v>
      </c>
      <c r="I328" s="60" t="s">
        <v>31</v>
      </c>
      <c r="J328" s="60"/>
      <c r="K328" s="60"/>
      <c r="L328" s="60"/>
      <c r="M328" s="60"/>
      <c r="N328" s="60"/>
      <c r="O328" s="60">
        <f>2150000*3</f>
        <v>6450000</v>
      </c>
      <c r="P328" s="60"/>
      <c r="Q328" s="60"/>
      <c r="R328" s="60"/>
      <c r="S328" s="60"/>
      <c r="T328" s="60"/>
      <c r="U328" s="60">
        <f t="shared" si="308"/>
        <v>387562.12</v>
      </c>
      <c r="V328" s="60"/>
      <c r="W328" s="62">
        <f t="shared" si="306"/>
        <v>6837562.1200000001</v>
      </c>
      <c r="X328" s="60" t="s">
        <v>18</v>
      </c>
      <c r="Y328" s="59">
        <v>0</v>
      </c>
      <c r="Z328" s="59">
        <v>0</v>
      </c>
      <c r="AA328" s="59">
        <v>0</v>
      </c>
      <c r="AB328" s="54">
        <f t="shared" si="307"/>
        <v>6837562.1200000001</v>
      </c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</row>
    <row r="329" spans="1:39" s="38" customFormat="1" ht="52.5" customHeight="1" x14ac:dyDescent="0.35">
      <c r="A329" s="31">
        <v>2019</v>
      </c>
      <c r="B329" s="53">
        <f>IF(OR(E329=0,E329=""),"",COUNTA($E$307:E329))</f>
        <v>18</v>
      </c>
      <c r="C329" s="53" t="s">
        <v>116</v>
      </c>
      <c r="D329" s="58" t="s">
        <v>828</v>
      </c>
      <c r="E329" s="59">
        <v>1991</v>
      </c>
      <c r="F329" s="59">
        <v>21698.5</v>
      </c>
      <c r="G329" s="60">
        <v>9358.2000000000007</v>
      </c>
      <c r="H329" s="60">
        <v>9529.5</v>
      </c>
      <c r="I329" s="60" t="s">
        <v>31</v>
      </c>
      <c r="J329" s="60"/>
      <c r="K329" s="60"/>
      <c r="L329" s="60"/>
      <c r="M329" s="60"/>
      <c r="N329" s="60"/>
      <c r="O329" s="60">
        <f>2150000*8</f>
        <v>17200000</v>
      </c>
      <c r="P329" s="60"/>
      <c r="Q329" s="60"/>
      <c r="R329" s="60"/>
      <c r="S329" s="60"/>
      <c r="T329" s="60"/>
      <c r="U329" s="60">
        <f t="shared" si="308"/>
        <v>477367</v>
      </c>
      <c r="V329" s="60"/>
      <c r="W329" s="62">
        <f t="shared" si="306"/>
        <v>17677367</v>
      </c>
      <c r="X329" s="60" t="s">
        <v>18</v>
      </c>
      <c r="Y329" s="59">
        <v>0</v>
      </c>
      <c r="Z329" s="59">
        <v>0</v>
      </c>
      <c r="AA329" s="59">
        <v>0</v>
      </c>
      <c r="AB329" s="54">
        <f t="shared" si="307"/>
        <v>17677367</v>
      </c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</row>
    <row r="330" spans="1:39" s="38" customFormat="1" ht="52.5" customHeight="1" x14ac:dyDescent="0.35">
      <c r="A330" s="31">
        <v>2019</v>
      </c>
      <c r="B330" s="53">
        <f>IF(OR(E330=0,E330=""),"",COUNTA($E$307:E330))</f>
        <v>19</v>
      </c>
      <c r="C330" s="53" t="s">
        <v>142</v>
      </c>
      <c r="D330" s="58" t="s">
        <v>829</v>
      </c>
      <c r="E330" s="59">
        <v>1982</v>
      </c>
      <c r="F330" s="60">
        <v>20956.2</v>
      </c>
      <c r="G330" s="60">
        <v>13288.6</v>
      </c>
      <c r="H330" s="60">
        <v>0</v>
      </c>
      <c r="I330" s="60" t="s">
        <v>31</v>
      </c>
      <c r="J330" s="60"/>
      <c r="K330" s="60"/>
      <c r="L330" s="60"/>
      <c r="M330" s="60"/>
      <c r="N330" s="60"/>
      <c r="O330" s="60">
        <f>2150000*7</f>
        <v>15050000</v>
      </c>
      <c r="P330" s="60"/>
      <c r="Q330" s="60"/>
      <c r="R330" s="60"/>
      <c r="S330" s="60"/>
      <c r="T330" s="60"/>
      <c r="U330" s="60">
        <f t="shared" si="308"/>
        <v>461036.4</v>
      </c>
      <c r="V330" s="60"/>
      <c r="W330" s="62">
        <f t="shared" si="306"/>
        <v>15511036.4</v>
      </c>
      <c r="X330" s="60" t="s">
        <v>18</v>
      </c>
      <c r="Y330" s="59">
        <v>0</v>
      </c>
      <c r="Z330" s="59">
        <v>0</v>
      </c>
      <c r="AA330" s="59">
        <v>0</v>
      </c>
      <c r="AB330" s="54">
        <f t="shared" si="307"/>
        <v>15511036.4</v>
      </c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</row>
    <row r="331" spans="1:39" s="38" customFormat="1" ht="52.5" customHeight="1" x14ac:dyDescent="0.35">
      <c r="A331" s="31">
        <v>2019</v>
      </c>
      <c r="B331" s="53">
        <f>IF(OR(E331=0,E331=""),"",COUNTA($E$307:E331))</f>
        <v>20</v>
      </c>
      <c r="C331" s="53" t="s">
        <v>143</v>
      </c>
      <c r="D331" s="58" t="s">
        <v>830</v>
      </c>
      <c r="E331" s="59">
        <v>1982</v>
      </c>
      <c r="F331" s="59">
        <v>11142.94</v>
      </c>
      <c r="G331" s="60">
        <v>4619.8</v>
      </c>
      <c r="H331" s="60">
        <v>4797.5</v>
      </c>
      <c r="I331" s="60" t="s">
        <v>31</v>
      </c>
      <c r="J331" s="60"/>
      <c r="K331" s="60"/>
      <c r="L331" s="60"/>
      <c r="M331" s="60"/>
      <c r="N331" s="60"/>
      <c r="O331" s="60">
        <f>2150000*4</f>
        <v>8600000</v>
      </c>
      <c r="P331" s="60"/>
      <c r="Q331" s="60"/>
      <c r="R331" s="60"/>
      <c r="S331" s="60"/>
      <c r="T331" s="60"/>
      <c r="U331" s="60">
        <f t="shared" si="308"/>
        <v>245144.68</v>
      </c>
      <c r="V331" s="60"/>
      <c r="W331" s="62">
        <f t="shared" si="306"/>
        <v>8845144.6799999997</v>
      </c>
      <c r="X331" s="60" t="s">
        <v>18</v>
      </c>
      <c r="Y331" s="59">
        <v>0</v>
      </c>
      <c r="Z331" s="59">
        <v>0</v>
      </c>
      <c r="AA331" s="59">
        <v>0</v>
      </c>
      <c r="AB331" s="54">
        <f t="shared" si="307"/>
        <v>8845144.6799999997</v>
      </c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</row>
    <row r="332" spans="1:39" s="38" customFormat="1" ht="52.5" customHeight="1" x14ac:dyDescent="0.35">
      <c r="A332" s="31">
        <v>2019</v>
      </c>
      <c r="B332" s="53">
        <f>IF(OR(E332=0,E332=""),"",COUNTA($E$307:E332))</f>
        <v>21</v>
      </c>
      <c r="C332" s="53" t="s">
        <v>139</v>
      </c>
      <c r="D332" s="58" t="s">
        <v>831</v>
      </c>
      <c r="E332" s="59">
        <v>1984</v>
      </c>
      <c r="F332" s="60">
        <v>5831.1</v>
      </c>
      <c r="G332" s="60">
        <v>3780.2</v>
      </c>
      <c r="H332" s="60">
        <v>0</v>
      </c>
      <c r="I332" s="60" t="s">
        <v>31</v>
      </c>
      <c r="J332" s="60"/>
      <c r="K332" s="60"/>
      <c r="L332" s="60"/>
      <c r="M332" s="60"/>
      <c r="N332" s="60"/>
      <c r="O332" s="60">
        <f>2150000*2</f>
        <v>4300000</v>
      </c>
      <c r="P332" s="60"/>
      <c r="Q332" s="60"/>
      <c r="R332" s="60"/>
      <c r="S332" s="60"/>
      <c r="T332" s="60"/>
      <c r="U332" s="60">
        <f t="shared" si="308"/>
        <v>128284.2</v>
      </c>
      <c r="V332" s="60"/>
      <c r="W332" s="62">
        <f t="shared" si="306"/>
        <v>4428284.2</v>
      </c>
      <c r="X332" s="60" t="s">
        <v>18</v>
      </c>
      <c r="Y332" s="59">
        <v>0</v>
      </c>
      <c r="Z332" s="59">
        <v>0</v>
      </c>
      <c r="AA332" s="59">
        <v>0</v>
      </c>
      <c r="AB332" s="54">
        <f t="shared" si="307"/>
        <v>4428284.2</v>
      </c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</row>
    <row r="333" spans="1:39" s="38" customFormat="1" ht="52.5" customHeight="1" x14ac:dyDescent="0.35">
      <c r="A333" s="31">
        <v>2019</v>
      </c>
      <c r="B333" s="53">
        <f>IF(OR(E333=0,E333=""),"",COUNTA($E$307:E333))</f>
        <v>22</v>
      </c>
      <c r="C333" s="53" t="s">
        <v>140</v>
      </c>
      <c r="D333" s="58" t="s">
        <v>832</v>
      </c>
      <c r="E333" s="59">
        <v>1984</v>
      </c>
      <c r="F333" s="60">
        <v>5831.1</v>
      </c>
      <c r="G333" s="60">
        <v>3780.2</v>
      </c>
      <c r="H333" s="60">
        <v>0</v>
      </c>
      <c r="I333" s="60" t="s">
        <v>31</v>
      </c>
      <c r="J333" s="60"/>
      <c r="K333" s="60"/>
      <c r="L333" s="60"/>
      <c r="M333" s="60"/>
      <c r="N333" s="60"/>
      <c r="O333" s="60">
        <f>2150000*2</f>
        <v>4300000</v>
      </c>
      <c r="P333" s="60"/>
      <c r="Q333" s="60"/>
      <c r="R333" s="60"/>
      <c r="S333" s="60"/>
      <c r="T333" s="60"/>
      <c r="U333" s="60">
        <f t="shared" si="308"/>
        <v>128284.2</v>
      </c>
      <c r="V333" s="60"/>
      <c r="W333" s="62">
        <f t="shared" si="306"/>
        <v>4428284.2</v>
      </c>
      <c r="X333" s="60" t="s">
        <v>18</v>
      </c>
      <c r="Y333" s="59">
        <v>0</v>
      </c>
      <c r="Z333" s="59">
        <v>0</v>
      </c>
      <c r="AA333" s="59">
        <v>0</v>
      </c>
      <c r="AB333" s="54">
        <f t="shared" si="307"/>
        <v>4428284.2</v>
      </c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</row>
    <row r="334" spans="1:39" s="38" customFormat="1" ht="52.5" customHeight="1" x14ac:dyDescent="0.35">
      <c r="A334" s="31">
        <v>2019</v>
      </c>
      <c r="B334" s="53">
        <f>IF(OR(E334=0,E334=""),"",COUNTA($E$307:E334))</f>
        <v>23</v>
      </c>
      <c r="C334" s="53" t="s">
        <v>115</v>
      </c>
      <c r="D334" s="58" t="s">
        <v>833</v>
      </c>
      <c r="E334" s="59">
        <v>1982</v>
      </c>
      <c r="F334" s="59">
        <v>19867.3</v>
      </c>
      <c r="G334" s="60">
        <v>13365.8</v>
      </c>
      <c r="H334" s="60">
        <v>55.6</v>
      </c>
      <c r="I334" s="60" t="s">
        <v>31</v>
      </c>
      <c r="J334" s="60"/>
      <c r="K334" s="60"/>
      <c r="L334" s="60"/>
      <c r="M334" s="60"/>
      <c r="N334" s="60"/>
      <c r="O334" s="60">
        <f>2150000*7</f>
        <v>15050000</v>
      </c>
      <c r="P334" s="60"/>
      <c r="Q334" s="60"/>
      <c r="R334" s="60"/>
      <c r="S334" s="60"/>
      <c r="T334" s="60"/>
      <c r="U334" s="60">
        <f t="shared" si="308"/>
        <v>437080.6</v>
      </c>
      <c r="V334" s="60"/>
      <c r="W334" s="62">
        <f t="shared" si="306"/>
        <v>15487080.6</v>
      </c>
      <c r="X334" s="60" t="s">
        <v>18</v>
      </c>
      <c r="Y334" s="59">
        <v>0</v>
      </c>
      <c r="Z334" s="59">
        <v>0</v>
      </c>
      <c r="AA334" s="59">
        <v>0</v>
      </c>
      <c r="AB334" s="54">
        <f t="shared" si="307"/>
        <v>15487080.6</v>
      </c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</row>
    <row r="335" spans="1:39" s="38" customFormat="1" ht="52.5" customHeight="1" x14ac:dyDescent="0.35">
      <c r="A335" s="31">
        <v>2019</v>
      </c>
      <c r="B335" s="53">
        <f>IF(OR(E335=0,E335=""),"",COUNTA($E$307:E335))</f>
        <v>24</v>
      </c>
      <c r="C335" s="53" t="s">
        <v>114</v>
      </c>
      <c r="D335" s="58" t="s">
        <v>834</v>
      </c>
      <c r="E335" s="59">
        <v>1984</v>
      </c>
      <c r="F335" s="59">
        <v>4809.8999999999996</v>
      </c>
      <c r="G335" s="60">
        <v>1970.9</v>
      </c>
      <c r="H335" s="60">
        <v>1977.1</v>
      </c>
      <c r="I335" s="60" t="s">
        <v>31</v>
      </c>
      <c r="J335" s="60"/>
      <c r="K335" s="60"/>
      <c r="L335" s="60"/>
      <c r="M335" s="60"/>
      <c r="N335" s="60"/>
      <c r="O335" s="60">
        <f>2150000*2</f>
        <v>4300000</v>
      </c>
      <c r="P335" s="60"/>
      <c r="Q335" s="60"/>
      <c r="R335" s="60"/>
      <c r="S335" s="60"/>
      <c r="T335" s="60"/>
      <c r="U335" s="60">
        <f t="shared" si="308"/>
        <v>105817.8</v>
      </c>
      <c r="V335" s="60"/>
      <c r="W335" s="62">
        <f t="shared" si="306"/>
        <v>4405817.8</v>
      </c>
      <c r="X335" s="60" t="s">
        <v>18</v>
      </c>
      <c r="Y335" s="59">
        <v>0</v>
      </c>
      <c r="Z335" s="59">
        <v>0</v>
      </c>
      <c r="AA335" s="59">
        <v>0</v>
      </c>
      <c r="AB335" s="54">
        <f t="shared" si="307"/>
        <v>4405817.8</v>
      </c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</row>
    <row r="336" spans="1:39" s="38" customFormat="1" ht="52.5" customHeight="1" x14ac:dyDescent="0.35">
      <c r="A336" s="31">
        <v>2019</v>
      </c>
      <c r="B336" s="53">
        <f>IF(OR(E336=0,E336=""),"",COUNTA($E$307:E336))</f>
        <v>25</v>
      </c>
      <c r="C336" s="53" t="s">
        <v>137</v>
      </c>
      <c r="D336" s="58" t="s">
        <v>835</v>
      </c>
      <c r="E336" s="59">
        <v>1983</v>
      </c>
      <c r="F336" s="59">
        <v>19323.79</v>
      </c>
      <c r="G336" s="60">
        <v>13015.9</v>
      </c>
      <c r="H336" s="60">
        <v>0</v>
      </c>
      <c r="I336" s="60" t="s">
        <v>31</v>
      </c>
      <c r="J336" s="60"/>
      <c r="K336" s="60"/>
      <c r="L336" s="60"/>
      <c r="M336" s="60"/>
      <c r="N336" s="60"/>
      <c r="O336" s="60">
        <f>2150000*7</f>
        <v>15050000</v>
      </c>
      <c r="P336" s="60"/>
      <c r="Q336" s="60"/>
      <c r="R336" s="60"/>
      <c r="S336" s="60"/>
      <c r="T336" s="60"/>
      <c r="U336" s="60">
        <f t="shared" si="308"/>
        <v>425123.38</v>
      </c>
      <c r="V336" s="60"/>
      <c r="W336" s="62">
        <f t="shared" si="306"/>
        <v>15475123.380000001</v>
      </c>
      <c r="X336" s="60" t="s">
        <v>18</v>
      </c>
      <c r="Y336" s="59">
        <v>0</v>
      </c>
      <c r="Z336" s="59">
        <v>0</v>
      </c>
      <c r="AA336" s="59">
        <v>0</v>
      </c>
      <c r="AB336" s="54">
        <f t="shared" si="307"/>
        <v>15475123.380000001</v>
      </c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</row>
    <row r="337" spans="1:39" s="38" customFormat="1" ht="52.5" customHeight="1" x14ac:dyDescent="0.35">
      <c r="A337" s="31">
        <v>2019</v>
      </c>
      <c r="B337" s="53">
        <f>IF(OR(E337=0,E337=""),"",COUNTA($E$307:E337))</f>
        <v>26</v>
      </c>
      <c r="C337" s="53" t="s">
        <v>113</v>
      </c>
      <c r="D337" s="58" t="s">
        <v>836</v>
      </c>
      <c r="E337" s="59">
        <v>1985</v>
      </c>
      <c r="F337" s="59">
        <v>2812.2</v>
      </c>
      <c r="G337" s="60">
        <v>1885.3</v>
      </c>
      <c r="H337" s="60">
        <v>0</v>
      </c>
      <c r="I337" s="60" t="s">
        <v>31</v>
      </c>
      <c r="J337" s="60"/>
      <c r="K337" s="60"/>
      <c r="L337" s="60"/>
      <c r="M337" s="60"/>
      <c r="N337" s="60"/>
      <c r="O337" s="60">
        <f>2150000*1</f>
        <v>2150000</v>
      </c>
      <c r="P337" s="60"/>
      <c r="Q337" s="60"/>
      <c r="R337" s="60"/>
      <c r="S337" s="60"/>
      <c r="T337" s="60"/>
      <c r="U337" s="60">
        <f t="shared" si="308"/>
        <v>61868.4</v>
      </c>
      <c r="V337" s="60"/>
      <c r="W337" s="62">
        <f t="shared" si="306"/>
        <v>2211868.4</v>
      </c>
      <c r="X337" s="60" t="s">
        <v>18</v>
      </c>
      <c r="Y337" s="59">
        <v>0</v>
      </c>
      <c r="Z337" s="59">
        <v>0</v>
      </c>
      <c r="AA337" s="59">
        <v>0</v>
      </c>
      <c r="AB337" s="54">
        <f t="shared" si="307"/>
        <v>2211868.4</v>
      </c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</row>
    <row r="338" spans="1:39" s="38" customFormat="1" ht="52.5" customHeight="1" x14ac:dyDescent="0.35">
      <c r="A338" s="31"/>
      <c r="B338" s="53">
        <f>IF(OR(E338=0,E338=""),"",COUNTA($E$307:E338))</f>
        <v>27</v>
      </c>
      <c r="C338" s="53" t="s">
        <v>135</v>
      </c>
      <c r="D338" s="58" t="s">
        <v>837</v>
      </c>
      <c r="E338" s="59">
        <v>1987</v>
      </c>
      <c r="F338" s="59">
        <v>2884.6</v>
      </c>
      <c r="G338" s="60">
        <v>1958.4</v>
      </c>
      <c r="H338" s="60">
        <v>0</v>
      </c>
      <c r="I338" s="60" t="s">
        <v>31</v>
      </c>
      <c r="J338" s="60"/>
      <c r="K338" s="60"/>
      <c r="L338" s="60"/>
      <c r="M338" s="60"/>
      <c r="N338" s="60"/>
      <c r="O338" s="60">
        <f>2150000*1</f>
        <v>2150000</v>
      </c>
      <c r="P338" s="60"/>
      <c r="Q338" s="60"/>
      <c r="R338" s="60"/>
      <c r="S338" s="60"/>
      <c r="T338" s="60"/>
      <c r="U338" s="60"/>
      <c r="V338" s="60"/>
      <c r="W338" s="62">
        <f t="shared" si="306"/>
        <v>2150000</v>
      </c>
      <c r="X338" s="60" t="s">
        <v>18</v>
      </c>
      <c r="Y338" s="59">
        <v>0</v>
      </c>
      <c r="Z338" s="59">
        <v>0</v>
      </c>
      <c r="AA338" s="59">
        <v>0</v>
      </c>
      <c r="AB338" s="54">
        <f t="shared" si="307"/>
        <v>2150000</v>
      </c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</row>
    <row r="339" spans="1:39" s="31" customFormat="1" ht="52.5" customHeight="1" x14ac:dyDescent="0.35">
      <c r="A339" s="31">
        <v>2019</v>
      </c>
      <c r="B339" s="53">
        <f>IF(OR(E339=0,E339=""),"",COUNTA($E$307:E339))</f>
        <v>28</v>
      </c>
      <c r="C339" s="53" t="s">
        <v>124</v>
      </c>
      <c r="D339" s="58" t="s">
        <v>838</v>
      </c>
      <c r="E339" s="58">
        <v>1967</v>
      </c>
      <c r="F339" s="60">
        <v>5049</v>
      </c>
      <c r="G339" s="60">
        <v>3790.7</v>
      </c>
      <c r="H339" s="60">
        <v>0</v>
      </c>
      <c r="I339" s="60" t="s">
        <v>33</v>
      </c>
      <c r="J339" s="60"/>
      <c r="K339" s="60"/>
      <c r="L339" s="60"/>
      <c r="M339" s="60"/>
      <c r="N339" s="60"/>
      <c r="O339" s="60"/>
      <c r="P339" s="60">
        <f t="shared" ref="P339:P350" si="309">1972*F339</f>
        <v>9956628</v>
      </c>
      <c r="Q339" s="60"/>
      <c r="R339" s="60">
        <f t="shared" ref="R339:R350" si="310">1917*F339</f>
        <v>9678933</v>
      </c>
      <c r="S339" s="60"/>
      <c r="T339" s="60"/>
      <c r="U339" s="60">
        <f t="shared" ref="U339:U350" si="311">97*F339</f>
        <v>489753</v>
      </c>
      <c r="V339" s="61"/>
      <c r="W339" s="62">
        <f t="shared" si="306"/>
        <v>20125314</v>
      </c>
      <c r="X339" s="60" t="s">
        <v>18</v>
      </c>
      <c r="Y339" s="59">
        <v>0</v>
      </c>
      <c r="Z339" s="59">
        <v>0</v>
      </c>
      <c r="AA339" s="59">
        <v>0</v>
      </c>
      <c r="AB339" s="54">
        <f t="shared" si="307"/>
        <v>20125314</v>
      </c>
    </row>
    <row r="340" spans="1:39" s="31" customFormat="1" ht="52.5" customHeight="1" x14ac:dyDescent="0.35">
      <c r="A340" s="31">
        <v>2019</v>
      </c>
      <c r="B340" s="53">
        <f>IF(OR(E340=0,E340=""),"",COUNTA($E$307:E340))</f>
        <v>29</v>
      </c>
      <c r="C340" s="53" t="s">
        <v>117</v>
      </c>
      <c r="D340" s="58" t="s">
        <v>839</v>
      </c>
      <c r="E340" s="58">
        <v>1967</v>
      </c>
      <c r="F340" s="60">
        <v>4347.2</v>
      </c>
      <c r="G340" s="60">
        <v>3351.35</v>
      </c>
      <c r="H340" s="60">
        <v>0</v>
      </c>
      <c r="I340" s="60" t="s">
        <v>33</v>
      </c>
      <c r="J340" s="60"/>
      <c r="K340" s="60"/>
      <c r="L340" s="60"/>
      <c r="M340" s="60"/>
      <c r="N340" s="60"/>
      <c r="O340" s="60"/>
      <c r="P340" s="60">
        <f t="shared" si="309"/>
        <v>8572678.4000000004</v>
      </c>
      <c r="Q340" s="60"/>
      <c r="R340" s="60">
        <f t="shared" si="310"/>
        <v>8333582.4000000004</v>
      </c>
      <c r="S340" s="60"/>
      <c r="T340" s="60"/>
      <c r="U340" s="60">
        <f t="shared" si="311"/>
        <v>421678.4</v>
      </c>
      <c r="V340" s="61"/>
      <c r="W340" s="62">
        <f t="shared" si="306"/>
        <v>17327939.199999999</v>
      </c>
      <c r="X340" s="60" t="s">
        <v>18</v>
      </c>
      <c r="Y340" s="59">
        <v>0</v>
      </c>
      <c r="Z340" s="59">
        <v>0</v>
      </c>
      <c r="AA340" s="59">
        <v>0</v>
      </c>
      <c r="AB340" s="54">
        <f t="shared" si="307"/>
        <v>17327939.199999999</v>
      </c>
    </row>
    <row r="341" spans="1:39" s="31" customFormat="1" ht="52.5" customHeight="1" x14ac:dyDescent="0.35">
      <c r="A341" s="31">
        <v>2019</v>
      </c>
      <c r="B341" s="53">
        <f>IF(OR(E341=0,E341=""),"",COUNTA($E$307:E341))</f>
        <v>30</v>
      </c>
      <c r="C341" s="53" t="s">
        <v>118</v>
      </c>
      <c r="D341" s="58" t="s">
        <v>840</v>
      </c>
      <c r="E341" s="58">
        <v>1965</v>
      </c>
      <c r="F341" s="60">
        <v>5069.7</v>
      </c>
      <c r="G341" s="60">
        <v>3811.6</v>
      </c>
      <c r="H341" s="60">
        <v>0</v>
      </c>
      <c r="I341" s="60" t="s">
        <v>33</v>
      </c>
      <c r="J341" s="60"/>
      <c r="K341" s="60"/>
      <c r="L341" s="60"/>
      <c r="M341" s="60"/>
      <c r="N341" s="60"/>
      <c r="O341" s="60"/>
      <c r="P341" s="60">
        <f t="shared" si="309"/>
        <v>9997448.4000000004</v>
      </c>
      <c r="Q341" s="60"/>
      <c r="R341" s="60">
        <f t="shared" si="310"/>
        <v>9718614.9000000004</v>
      </c>
      <c r="S341" s="60"/>
      <c r="T341" s="60"/>
      <c r="U341" s="60">
        <f t="shared" si="311"/>
        <v>491760.9</v>
      </c>
      <c r="V341" s="61"/>
      <c r="W341" s="62">
        <f t="shared" si="306"/>
        <v>20207824.199999999</v>
      </c>
      <c r="X341" s="60" t="s">
        <v>18</v>
      </c>
      <c r="Y341" s="59">
        <v>0</v>
      </c>
      <c r="Z341" s="59">
        <v>0</v>
      </c>
      <c r="AA341" s="59">
        <v>0</v>
      </c>
      <c r="AB341" s="54">
        <f t="shared" si="307"/>
        <v>20207824.199999999</v>
      </c>
    </row>
    <row r="342" spans="1:39" s="31" customFormat="1" ht="52.5" customHeight="1" x14ac:dyDescent="0.35">
      <c r="A342" s="31">
        <v>2019</v>
      </c>
      <c r="B342" s="53">
        <f>IF(OR(E342=0,E342=""),"",COUNTA($E$307:E342))</f>
        <v>31</v>
      </c>
      <c r="C342" s="53" t="s">
        <v>119</v>
      </c>
      <c r="D342" s="58" t="s">
        <v>841</v>
      </c>
      <c r="E342" s="58">
        <v>1967</v>
      </c>
      <c r="F342" s="59">
        <v>3425.9</v>
      </c>
      <c r="G342" s="60">
        <v>2573.5</v>
      </c>
      <c r="H342" s="60">
        <v>0</v>
      </c>
      <c r="I342" s="60" t="s">
        <v>33</v>
      </c>
      <c r="J342" s="60"/>
      <c r="K342" s="60"/>
      <c r="L342" s="60"/>
      <c r="M342" s="60"/>
      <c r="N342" s="60"/>
      <c r="O342" s="60"/>
      <c r="P342" s="60">
        <f t="shared" si="309"/>
        <v>6755874.7999999998</v>
      </c>
      <c r="Q342" s="60"/>
      <c r="R342" s="60">
        <f t="shared" si="310"/>
        <v>6567450.2999999998</v>
      </c>
      <c r="S342" s="60"/>
      <c r="T342" s="60"/>
      <c r="U342" s="60">
        <f t="shared" si="311"/>
        <v>332312.3</v>
      </c>
      <c r="V342" s="61"/>
      <c r="W342" s="62">
        <f t="shared" si="306"/>
        <v>13655637.4</v>
      </c>
      <c r="X342" s="60" t="s">
        <v>18</v>
      </c>
      <c r="Y342" s="59">
        <v>0</v>
      </c>
      <c r="Z342" s="59">
        <v>0</v>
      </c>
      <c r="AA342" s="59">
        <v>0</v>
      </c>
      <c r="AB342" s="54">
        <f t="shared" si="307"/>
        <v>13655637.4</v>
      </c>
    </row>
    <row r="343" spans="1:39" s="31" customFormat="1" ht="52.5" customHeight="1" x14ac:dyDescent="0.35">
      <c r="A343" s="31">
        <v>2019</v>
      </c>
      <c r="B343" s="53">
        <f>IF(OR(E343=0,E343=""),"",COUNTA($E$307:E343))</f>
        <v>32</v>
      </c>
      <c r="C343" s="53" t="s">
        <v>120</v>
      </c>
      <c r="D343" s="58" t="s">
        <v>842</v>
      </c>
      <c r="E343" s="58">
        <v>1967</v>
      </c>
      <c r="F343" s="60">
        <v>4346.3999999999996</v>
      </c>
      <c r="G343" s="60">
        <v>3193.2</v>
      </c>
      <c r="H343" s="60">
        <v>0</v>
      </c>
      <c r="I343" s="60" t="s">
        <v>33</v>
      </c>
      <c r="J343" s="60"/>
      <c r="K343" s="60"/>
      <c r="L343" s="60"/>
      <c r="M343" s="60"/>
      <c r="N343" s="60"/>
      <c r="O343" s="60"/>
      <c r="P343" s="60">
        <f t="shared" si="309"/>
        <v>8571100.8000000007</v>
      </c>
      <c r="Q343" s="60"/>
      <c r="R343" s="60">
        <f t="shared" si="310"/>
        <v>8332048.7999999998</v>
      </c>
      <c r="S343" s="60"/>
      <c r="T343" s="60"/>
      <c r="U343" s="60">
        <f t="shared" si="311"/>
        <v>421600.8</v>
      </c>
      <c r="V343" s="61"/>
      <c r="W343" s="62">
        <f t="shared" si="306"/>
        <v>17324750.399999999</v>
      </c>
      <c r="X343" s="60" t="s">
        <v>18</v>
      </c>
      <c r="Y343" s="59">
        <v>0</v>
      </c>
      <c r="Z343" s="59">
        <v>0</v>
      </c>
      <c r="AA343" s="59">
        <v>0</v>
      </c>
      <c r="AB343" s="54">
        <f t="shared" si="307"/>
        <v>17324750.399999999</v>
      </c>
    </row>
    <row r="344" spans="1:39" s="31" customFormat="1" ht="52.5" customHeight="1" x14ac:dyDescent="0.35">
      <c r="A344" s="31">
        <v>2019</v>
      </c>
      <c r="B344" s="53">
        <f>IF(OR(E344=0,E344=""),"",COUNTA($E$307:E344))</f>
        <v>33</v>
      </c>
      <c r="C344" s="53" t="s">
        <v>123</v>
      </c>
      <c r="D344" s="58" t="s">
        <v>843</v>
      </c>
      <c r="E344" s="58">
        <v>1967</v>
      </c>
      <c r="F344" s="60">
        <v>3473.8</v>
      </c>
      <c r="G344" s="60">
        <v>2574.5</v>
      </c>
      <c r="H344" s="60">
        <v>0</v>
      </c>
      <c r="I344" s="60" t="s">
        <v>33</v>
      </c>
      <c r="J344" s="60"/>
      <c r="K344" s="60"/>
      <c r="L344" s="60"/>
      <c r="M344" s="60"/>
      <c r="N344" s="60"/>
      <c r="O344" s="60"/>
      <c r="P344" s="60">
        <f t="shared" si="309"/>
        <v>6850333.5999999996</v>
      </c>
      <c r="Q344" s="60"/>
      <c r="R344" s="60">
        <f t="shared" si="310"/>
        <v>6659274.5999999996</v>
      </c>
      <c r="S344" s="60"/>
      <c r="T344" s="60"/>
      <c r="U344" s="60">
        <f t="shared" si="311"/>
        <v>336958.6</v>
      </c>
      <c r="V344" s="61"/>
      <c r="W344" s="62">
        <f t="shared" si="306"/>
        <v>13846566.800000001</v>
      </c>
      <c r="X344" s="60" t="s">
        <v>18</v>
      </c>
      <c r="Y344" s="59">
        <v>0</v>
      </c>
      <c r="Z344" s="59">
        <v>0</v>
      </c>
      <c r="AA344" s="59">
        <v>0</v>
      </c>
      <c r="AB344" s="54">
        <f t="shared" si="307"/>
        <v>13846566.800000001</v>
      </c>
    </row>
    <row r="345" spans="1:39" s="31" customFormat="1" ht="52.5" customHeight="1" x14ac:dyDescent="0.35">
      <c r="A345" s="31">
        <v>2019</v>
      </c>
      <c r="B345" s="53">
        <f>IF(OR(E345=0,E345=""),"",COUNTA($E$307:E345))</f>
        <v>34</v>
      </c>
      <c r="C345" s="53" t="s">
        <v>125</v>
      </c>
      <c r="D345" s="58" t="s">
        <v>844</v>
      </c>
      <c r="E345" s="58">
        <v>1966</v>
      </c>
      <c r="F345" s="59">
        <v>5007.8</v>
      </c>
      <c r="G345" s="60">
        <v>3797</v>
      </c>
      <c r="H345" s="60">
        <v>0</v>
      </c>
      <c r="I345" s="60" t="s">
        <v>33</v>
      </c>
      <c r="J345" s="60"/>
      <c r="K345" s="60"/>
      <c r="L345" s="60"/>
      <c r="M345" s="60"/>
      <c r="N345" s="60"/>
      <c r="O345" s="60"/>
      <c r="P345" s="60">
        <f t="shared" si="309"/>
        <v>9875381.5999999996</v>
      </c>
      <c r="Q345" s="60"/>
      <c r="R345" s="60">
        <f t="shared" si="310"/>
        <v>9599952.5999999996</v>
      </c>
      <c r="S345" s="60"/>
      <c r="T345" s="60"/>
      <c r="U345" s="60">
        <f t="shared" si="311"/>
        <v>485756.6</v>
      </c>
      <c r="V345" s="61"/>
      <c r="W345" s="62">
        <f t="shared" si="306"/>
        <v>19961090.800000001</v>
      </c>
      <c r="X345" s="60" t="s">
        <v>18</v>
      </c>
      <c r="Y345" s="59">
        <v>0</v>
      </c>
      <c r="Z345" s="59">
        <v>0</v>
      </c>
      <c r="AA345" s="59">
        <v>0</v>
      </c>
      <c r="AB345" s="54">
        <f t="shared" si="307"/>
        <v>19961090.800000001</v>
      </c>
    </row>
    <row r="346" spans="1:39" s="31" customFormat="1" ht="52.5" customHeight="1" x14ac:dyDescent="0.35">
      <c r="A346" s="31">
        <v>2019</v>
      </c>
      <c r="B346" s="53">
        <f>IF(OR(E346=0,E346=""),"",COUNTA($E$307:E346))</f>
        <v>35</v>
      </c>
      <c r="C346" s="53" t="s">
        <v>130</v>
      </c>
      <c r="D346" s="58" t="s">
        <v>845</v>
      </c>
      <c r="E346" s="58">
        <v>1965</v>
      </c>
      <c r="F346" s="59">
        <v>4961.1000000000004</v>
      </c>
      <c r="G346" s="60">
        <v>3804.6</v>
      </c>
      <c r="H346" s="60">
        <v>0</v>
      </c>
      <c r="I346" s="60" t="s">
        <v>33</v>
      </c>
      <c r="J346" s="60"/>
      <c r="K346" s="60"/>
      <c r="L346" s="60"/>
      <c r="M346" s="60"/>
      <c r="N346" s="60"/>
      <c r="O346" s="60"/>
      <c r="P346" s="60">
        <f t="shared" si="309"/>
        <v>9783289.1999999993</v>
      </c>
      <c r="Q346" s="60"/>
      <c r="R346" s="60">
        <f t="shared" si="310"/>
        <v>9510428.6999999993</v>
      </c>
      <c r="S346" s="60"/>
      <c r="T346" s="60"/>
      <c r="U346" s="60">
        <f t="shared" si="311"/>
        <v>481226.7</v>
      </c>
      <c r="V346" s="61"/>
      <c r="W346" s="62">
        <f t="shared" si="306"/>
        <v>19774944.600000001</v>
      </c>
      <c r="X346" s="60" t="s">
        <v>18</v>
      </c>
      <c r="Y346" s="59">
        <v>0</v>
      </c>
      <c r="Z346" s="59">
        <v>0</v>
      </c>
      <c r="AA346" s="59">
        <v>0</v>
      </c>
      <c r="AB346" s="54">
        <f t="shared" si="307"/>
        <v>19774944.600000001</v>
      </c>
    </row>
    <row r="347" spans="1:39" s="31" customFormat="1" ht="52.5" customHeight="1" x14ac:dyDescent="0.35">
      <c r="A347" s="31">
        <v>2019</v>
      </c>
      <c r="B347" s="53">
        <f>IF(OR(E347=0,E347=""),"",COUNTA($E$307:E347))</f>
        <v>36</v>
      </c>
      <c r="C347" s="53" t="s">
        <v>131</v>
      </c>
      <c r="D347" s="58" t="s">
        <v>846</v>
      </c>
      <c r="E347" s="58">
        <v>1965</v>
      </c>
      <c r="F347" s="59">
        <v>2991.59</v>
      </c>
      <c r="G347" s="60">
        <v>2037.09</v>
      </c>
      <c r="H347" s="60">
        <v>0</v>
      </c>
      <c r="I347" s="60" t="s">
        <v>33</v>
      </c>
      <c r="J347" s="60"/>
      <c r="K347" s="60"/>
      <c r="L347" s="60"/>
      <c r="M347" s="60"/>
      <c r="N347" s="60"/>
      <c r="O347" s="60"/>
      <c r="P347" s="60">
        <f t="shared" si="309"/>
        <v>5899415.4800000004</v>
      </c>
      <c r="Q347" s="60"/>
      <c r="R347" s="60">
        <f t="shared" si="310"/>
        <v>5734878.0300000003</v>
      </c>
      <c r="S347" s="60"/>
      <c r="T347" s="60"/>
      <c r="U347" s="60">
        <f t="shared" si="311"/>
        <v>290184.23</v>
      </c>
      <c r="V347" s="61"/>
      <c r="W347" s="62">
        <f t="shared" si="306"/>
        <v>11924477.74</v>
      </c>
      <c r="X347" s="60" t="s">
        <v>18</v>
      </c>
      <c r="Y347" s="59">
        <v>0</v>
      </c>
      <c r="Z347" s="59">
        <v>0</v>
      </c>
      <c r="AA347" s="59">
        <v>0</v>
      </c>
      <c r="AB347" s="54">
        <f t="shared" si="307"/>
        <v>11924477.74</v>
      </c>
    </row>
    <row r="348" spans="1:39" s="31" customFormat="1" ht="52.5" customHeight="1" x14ac:dyDescent="0.35">
      <c r="A348" s="31">
        <v>2019</v>
      </c>
      <c r="B348" s="53">
        <f>IF(OR(E348=0,E348=""),"",COUNTA($E$307:E348))</f>
        <v>37</v>
      </c>
      <c r="C348" s="53" t="s">
        <v>134</v>
      </c>
      <c r="D348" s="58" t="s">
        <v>847</v>
      </c>
      <c r="E348" s="58">
        <v>1965</v>
      </c>
      <c r="F348" s="60">
        <v>5071.1000000000004</v>
      </c>
      <c r="G348" s="60">
        <v>3797</v>
      </c>
      <c r="H348" s="60">
        <v>0</v>
      </c>
      <c r="I348" s="60" t="s">
        <v>33</v>
      </c>
      <c r="J348" s="60"/>
      <c r="K348" s="60"/>
      <c r="L348" s="60"/>
      <c r="M348" s="60"/>
      <c r="N348" s="60"/>
      <c r="O348" s="60"/>
      <c r="P348" s="60">
        <f t="shared" si="309"/>
        <v>10000209.199999999</v>
      </c>
      <c r="Q348" s="60"/>
      <c r="R348" s="60">
        <f t="shared" si="310"/>
        <v>9721298.6999999993</v>
      </c>
      <c r="S348" s="60"/>
      <c r="T348" s="60"/>
      <c r="U348" s="60">
        <f t="shared" si="311"/>
        <v>491896.7</v>
      </c>
      <c r="V348" s="61"/>
      <c r="W348" s="62">
        <f t="shared" si="306"/>
        <v>20213404.600000001</v>
      </c>
      <c r="X348" s="60" t="s">
        <v>18</v>
      </c>
      <c r="Y348" s="59">
        <v>0</v>
      </c>
      <c r="Z348" s="59">
        <v>0</v>
      </c>
      <c r="AA348" s="59">
        <v>0</v>
      </c>
      <c r="AB348" s="54">
        <f t="shared" si="307"/>
        <v>20213404.600000001</v>
      </c>
    </row>
    <row r="349" spans="1:39" s="31" customFormat="1" ht="52.5" customHeight="1" x14ac:dyDescent="0.35">
      <c r="A349" s="31">
        <v>2019</v>
      </c>
      <c r="B349" s="53">
        <f>IF(OR(E349=0,E349=""),"",COUNTA($E$307:E349))</f>
        <v>38</v>
      </c>
      <c r="C349" s="53" t="s">
        <v>144</v>
      </c>
      <c r="D349" s="58" t="s">
        <v>848</v>
      </c>
      <c r="E349" s="58">
        <v>1967</v>
      </c>
      <c r="F349" s="60">
        <v>2907</v>
      </c>
      <c r="G349" s="60">
        <v>2577.1999999999998</v>
      </c>
      <c r="H349" s="60">
        <v>0</v>
      </c>
      <c r="I349" s="60" t="s">
        <v>33</v>
      </c>
      <c r="J349" s="60"/>
      <c r="K349" s="60"/>
      <c r="L349" s="60"/>
      <c r="M349" s="60"/>
      <c r="N349" s="60"/>
      <c r="O349" s="60"/>
      <c r="P349" s="60">
        <f t="shared" si="309"/>
        <v>5732604</v>
      </c>
      <c r="Q349" s="60"/>
      <c r="R349" s="60">
        <f t="shared" si="310"/>
        <v>5572719</v>
      </c>
      <c r="S349" s="60"/>
      <c r="T349" s="60"/>
      <c r="U349" s="60">
        <f t="shared" si="311"/>
        <v>281979</v>
      </c>
      <c r="V349" s="61"/>
      <c r="W349" s="62">
        <f t="shared" si="306"/>
        <v>11587302</v>
      </c>
      <c r="X349" s="60" t="s">
        <v>18</v>
      </c>
      <c r="Y349" s="59">
        <v>0</v>
      </c>
      <c r="Z349" s="59">
        <v>0</v>
      </c>
      <c r="AA349" s="59">
        <v>0</v>
      </c>
      <c r="AB349" s="54">
        <f t="shared" si="307"/>
        <v>11587302</v>
      </c>
    </row>
    <row r="350" spans="1:39" s="31" customFormat="1" ht="52.5" customHeight="1" x14ac:dyDescent="0.35">
      <c r="A350" s="31">
        <v>2019</v>
      </c>
      <c r="B350" s="53">
        <f>IF(OR(E350=0,E350=""),"",COUNTA($E$307:E350))</f>
        <v>39</v>
      </c>
      <c r="C350" s="53" t="s">
        <v>146</v>
      </c>
      <c r="D350" s="58" t="s">
        <v>849</v>
      </c>
      <c r="E350" s="58">
        <v>1967</v>
      </c>
      <c r="F350" s="59">
        <v>3842.9</v>
      </c>
      <c r="G350" s="60">
        <v>1638.9</v>
      </c>
      <c r="H350" s="60">
        <v>0</v>
      </c>
      <c r="I350" s="60" t="s">
        <v>33</v>
      </c>
      <c r="J350" s="60"/>
      <c r="K350" s="60"/>
      <c r="L350" s="60"/>
      <c r="M350" s="60"/>
      <c r="N350" s="60"/>
      <c r="O350" s="60"/>
      <c r="P350" s="60">
        <f t="shared" si="309"/>
        <v>7578198.7999999998</v>
      </c>
      <c r="Q350" s="60"/>
      <c r="R350" s="60">
        <f t="shared" si="310"/>
        <v>7366839.2999999998</v>
      </c>
      <c r="S350" s="60"/>
      <c r="T350" s="60"/>
      <c r="U350" s="60">
        <f t="shared" si="311"/>
        <v>372761.3</v>
      </c>
      <c r="V350" s="61"/>
      <c r="W350" s="62">
        <f t="shared" si="306"/>
        <v>15317799.4</v>
      </c>
      <c r="X350" s="60" t="s">
        <v>18</v>
      </c>
      <c r="Y350" s="59">
        <v>0</v>
      </c>
      <c r="Z350" s="59">
        <v>0</v>
      </c>
      <c r="AA350" s="59">
        <v>0</v>
      </c>
      <c r="AB350" s="54">
        <f t="shared" si="307"/>
        <v>15317799.4</v>
      </c>
    </row>
    <row r="351" spans="1:39" s="31" customFormat="1" ht="52.5" customHeight="1" x14ac:dyDescent="0.35">
      <c r="B351" s="53">
        <f>IF(OR(E351=0,E351=""),"",COUNTA($E$307:E351))</f>
        <v>40</v>
      </c>
      <c r="C351" s="53" t="s">
        <v>127</v>
      </c>
      <c r="D351" s="58" t="s">
        <v>850</v>
      </c>
      <c r="E351" s="58">
        <v>1963</v>
      </c>
      <c r="F351" s="60">
        <v>3812.7</v>
      </c>
      <c r="G351" s="60">
        <v>2530.6999999999998</v>
      </c>
      <c r="H351" s="60">
        <v>1282</v>
      </c>
      <c r="I351" s="60" t="s">
        <v>33</v>
      </c>
      <c r="J351" s="60">
        <f>F351*228</f>
        <v>869295.6</v>
      </c>
      <c r="K351" s="60">
        <f>F351*434</f>
        <v>1654711.8</v>
      </c>
      <c r="L351" s="60"/>
      <c r="M351" s="60">
        <f>F351*268</f>
        <v>1021803.6</v>
      </c>
      <c r="N351" s="60">
        <f>F351*215</f>
        <v>819730.5</v>
      </c>
      <c r="O351" s="60"/>
      <c r="P351" s="60">
        <f>F351*1972</f>
        <v>7518644.4000000004</v>
      </c>
      <c r="Q351" s="60">
        <f>F351*113</f>
        <v>430835.1</v>
      </c>
      <c r="R351" s="60">
        <f>F351*1917</f>
        <v>7308945.9000000004</v>
      </c>
      <c r="S351" s="60">
        <f>F351*114</f>
        <v>434647.8</v>
      </c>
      <c r="T351" s="60"/>
      <c r="U351" s="60">
        <f>222*F351</f>
        <v>846419.4</v>
      </c>
      <c r="V351" s="61"/>
      <c r="W351" s="62">
        <f t="shared" si="306"/>
        <v>20905034.100000001</v>
      </c>
      <c r="X351" s="60" t="s">
        <v>18</v>
      </c>
      <c r="Y351" s="59">
        <v>0</v>
      </c>
      <c r="Z351" s="59">
        <v>0</v>
      </c>
      <c r="AA351" s="59">
        <v>0</v>
      </c>
      <c r="AB351" s="54">
        <f t="shared" si="307"/>
        <v>20905034.100000001</v>
      </c>
    </row>
    <row r="352" spans="1:39" s="31" customFormat="1" ht="52.5" customHeight="1" x14ac:dyDescent="0.35">
      <c r="A352" s="31">
        <v>2019</v>
      </c>
      <c r="B352" s="53">
        <f>IF(OR(E352=0,E352=""),"",COUNTA($E$307:E352))</f>
        <v>41</v>
      </c>
      <c r="C352" s="53" t="s">
        <v>1075</v>
      </c>
      <c r="D352" s="58" t="s">
        <v>851</v>
      </c>
      <c r="E352" s="58">
        <v>1968</v>
      </c>
      <c r="F352" s="59">
        <v>3658.4</v>
      </c>
      <c r="G352" s="60">
        <v>2696</v>
      </c>
      <c r="H352" s="60">
        <v>0</v>
      </c>
      <c r="I352" s="60" t="s">
        <v>33</v>
      </c>
      <c r="J352" s="60"/>
      <c r="K352" s="60"/>
      <c r="L352" s="60"/>
      <c r="M352" s="60"/>
      <c r="N352" s="60"/>
      <c r="O352" s="60"/>
      <c r="P352" s="60">
        <f>1972*F352</f>
        <v>7214364.7999999998</v>
      </c>
      <c r="Q352" s="60"/>
      <c r="R352" s="60">
        <f>1917*F352</f>
        <v>7013152.7999999998</v>
      </c>
      <c r="S352" s="60"/>
      <c r="T352" s="60"/>
      <c r="U352" s="60">
        <f>97*F352</f>
        <v>354864.8</v>
      </c>
      <c r="V352" s="61"/>
      <c r="W352" s="62">
        <f t="shared" si="306"/>
        <v>14582382.4</v>
      </c>
      <c r="X352" s="60" t="s">
        <v>18</v>
      </c>
      <c r="Y352" s="59">
        <v>0</v>
      </c>
      <c r="Z352" s="59">
        <v>0</v>
      </c>
      <c r="AA352" s="59">
        <v>0</v>
      </c>
      <c r="AB352" s="54">
        <f t="shared" si="307"/>
        <v>14582382.4</v>
      </c>
    </row>
    <row r="353" spans="1:28" s="31" customFormat="1" ht="52.5" customHeight="1" x14ac:dyDescent="0.35">
      <c r="A353" s="31">
        <v>2019</v>
      </c>
      <c r="B353" s="53" t="str">
        <f>IF(OR(E353=0,E353=""),"",COUNTA($E$307:E353))</f>
        <v/>
      </c>
      <c r="C353" s="53"/>
      <c r="D353" s="58"/>
      <c r="E353" s="59"/>
      <c r="F353" s="54">
        <f>SUM(F318:F352)</f>
        <v>245175.88</v>
      </c>
      <c r="G353" s="54">
        <f>SUM(G318:G352)</f>
        <v>158323.54</v>
      </c>
      <c r="H353" s="54">
        <f>SUM(H318:H352)</f>
        <v>23566.5</v>
      </c>
      <c r="I353" s="54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54">
        <f>SUM(W318:W352)</f>
        <v>465820417.22000003</v>
      </c>
      <c r="X353" s="60"/>
      <c r="Y353" s="52">
        <v>0</v>
      </c>
      <c r="Z353" s="52">
        <v>0</v>
      </c>
      <c r="AA353" s="52">
        <v>0</v>
      </c>
      <c r="AB353" s="54">
        <f>SUM(AB318:AB352)</f>
        <v>465820417.22000003</v>
      </c>
    </row>
    <row r="354" spans="1:28" s="33" customFormat="1" ht="52.5" customHeight="1" x14ac:dyDescent="0.35">
      <c r="A354" s="31">
        <v>2019</v>
      </c>
      <c r="B354" s="53" t="str">
        <f>IF(OR(E354=0,E354=""),"",COUNTA($E$307:E354))</f>
        <v/>
      </c>
      <c r="C354" s="53"/>
      <c r="D354" s="57" t="s">
        <v>87</v>
      </c>
      <c r="E354" s="57"/>
      <c r="F354" s="54"/>
      <c r="G354" s="54"/>
      <c r="H354" s="54"/>
      <c r="I354" s="54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59"/>
      <c r="Z354" s="59"/>
      <c r="AA354" s="59"/>
      <c r="AB354" s="54"/>
    </row>
    <row r="355" spans="1:28" s="31" customFormat="1" ht="52.5" customHeight="1" x14ac:dyDescent="0.35">
      <c r="A355" s="31">
        <v>2019</v>
      </c>
      <c r="B355" s="53">
        <f>IF(OR(E355=0,E355=""),"",COUNTA($E$307:E355))</f>
        <v>42</v>
      </c>
      <c r="C355" s="53" t="s">
        <v>153</v>
      </c>
      <c r="D355" s="58" t="s">
        <v>852</v>
      </c>
      <c r="E355" s="59">
        <v>1972</v>
      </c>
      <c r="F355" s="60">
        <v>1628</v>
      </c>
      <c r="G355" s="60">
        <v>1083.4000000000001</v>
      </c>
      <c r="H355" s="60">
        <v>544.6</v>
      </c>
      <c r="I355" s="60" t="s">
        <v>35</v>
      </c>
      <c r="J355" s="60"/>
      <c r="K355" s="60"/>
      <c r="L355" s="60"/>
      <c r="M355" s="60"/>
      <c r="N355" s="60"/>
      <c r="O355" s="60"/>
      <c r="P355" s="60">
        <f t="shared" ref="P355:P362" si="312">1919*F355</f>
        <v>3124132</v>
      </c>
      <c r="Q355" s="60"/>
      <c r="R355" s="60">
        <f t="shared" ref="R355:R362" si="313">1853*F355</f>
        <v>3016684</v>
      </c>
      <c r="S355" s="60"/>
      <c r="T355" s="60"/>
      <c r="U355" s="60">
        <f>119*F355</f>
        <v>193732</v>
      </c>
      <c r="V355" s="60"/>
      <c r="W355" s="62">
        <f t="shared" ref="W355:W362" si="314">V355+U355+T355+S355+R355+Q355+P355+O355+N355+M355+L355+K355+J355</f>
        <v>6334548</v>
      </c>
      <c r="X355" s="60" t="s">
        <v>18</v>
      </c>
      <c r="Y355" s="59">
        <v>0</v>
      </c>
      <c r="Z355" s="59">
        <v>0</v>
      </c>
      <c r="AA355" s="59">
        <v>0</v>
      </c>
      <c r="AB355" s="54">
        <f t="shared" ref="AB355:AB363" si="315">W355-(Y355+Z355+AA355)</f>
        <v>6334548</v>
      </c>
    </row>
    <row r="356" spans="1:28" s="31" customFormat="1" ht="52.5" customHeight="1" x14ac:dyDescent="0.35">
      <c r="A356" s="31">
        <v>2019</v>
      </c>
      <c r="B356" s="53">
        <f>IF(OR(E356=0,E356=""),"",COUNTA($E$307:E356))</f>
        <v>43</v>
      </c>
      <c r="C356" s="53" t="s">
        <v>147</v>
      </c>
      <c r="D356" s="58" t="s">
        <v>853</v>
      </c>
      <c r="E356" s="67">
        <v>1973</v>
      </c>
      <c r="F356" s="68">
        <v>1352.4</v>
      </c>
      <c r="G356" s="68">
        <v>765.8</v>
      </c>
      <c r="H356" s="68">
        <v>586.6</v>
      </c>
      <c r="I356" s="60" t="s">
        <v>35</v>
      </c>
      <c r="J356" s="60"/>
      <c r="K356" s="60"/>
      <c r="L356" s="60"/>
      <c r="M356" s="60"/>
      <c r="N356" s="60"/>
      <c r="O356" s="60"/>
      <c r="P356" s="60">
        <f t="shared" si="312"/>
        <v>2595255.6</v>
      </c>
      <c r="Q356" s="60"/>
      <c r="R356" s="60">
        <f t="shared" si="313"/>
        <v>2505997.2000000002</v>
      </c>
      <c r="S356" s="60"/>
      <c r="T356" s="60"/>
      <c r="U356" s="60">
        <f>119*F356</f>
        <v>160935.6</v>
      </c>
      <c r="V356" s="60"/>
      <c r="W356" s="62">
        <f t="shared" si="314"/>
        <v>5262188.4000000004</v>
      </c>
      <c r="X356" s="60" t="s">
        <v>18</v>
      </c>
      <c r="Y356" s="59">
        <v>0</v>
      </c>
      <c r="Z356" s="59">
        <v>0</v>
      </c>
      <c r="AA356" s="59">
        <v>0</v>
      </c>
      <c r="AB356" s="54">
        <f t="shared" si="315"/>
        <v>5262188.4000000004</v>
      </c>
    </row>
    <row r="357" spans="1:28" s="31" customFormat="1" ht="52.5" customHeight="1" x14ac:dyDescent="0.35">
      <c r="A357" s="31">
        <v>2019</v>
      </c>
      <c r="B357" s="53">
        <f>IF(OR(E357=0,E357=""),"",COUNTA($E$307:E357))</f>
        <v>44</v>
      </c>
      <c r="C357" s="53" t="s">
        <v>154</v>
      </c>
      <c r="D357" s="58" t="s">
        <v>854</v>
      </c>
      <c r="E357" s="67">
        <v>1974</v>
      </c>
      <c r="F357" s="68">
        <v>739.4</v>
      </c>
      <c r="G357" s="68">
        <v>726.8</v>
      </c>
      <c r="H357" s="68">
        <v>0</v>
      </c>
      <c r="I357" s="60" t="s">
        <v>35</v>
      </c>
      <c r="J357" s="60"/>
      <c r="K357" s="60"/>
      <c r="L357" s="60"/>
      <c r="M357" s="60"/>
      <c r="N357" s="60"/>
      <c r="O357" s="60"/>
      <c r="P357" s="60">
        <f t="shared" si="312"/>
        <v>1418908.6</v>
      </c>
      <c r="Q357" s="60"/>
      <c r="R357" s="60">
        <f t="shared" si="313"/>
        <v>1370108.2</v>
      </c>
      <c r="S357" s="60"/>
      <c r="T357" s="60"/>
      <c r="U357" s="60">
        <f>119*F357</f>
        <v>87988.6</v>
      </c>
      <c r="V357" s="60"/>
      <c r="W357" s="62">
        <f t="shared" si="314"/>
        <v>2877005.4</v>
      </c>
      <c r="X357" s="60" t="s">
        <v>18</v>
      </c>
      <c r="Y357" s="59">
        <v>0</v>
      </c>
      <c r="Z357" s="59">
        <v>0</v>
      </c>
      <c r="AA357" s="59">
        <v>0</v>
      </c>
      <c r="AB357" s="54">
        <f t="shared" si="315"/>
        <v>2877005.4</v>
      </c>
    </row>
    <row r="358" spans="1:28" s="31" customFormat="1" ht="52.5" customHeight="1" x14ac:dyDescent="0.35">
      <c r="A358" s="31">
        <v>2019</v>
      </c>
      <c r="B358" s="53">
        <f>IF(OR(E358=0,E358=""),"",COUNTA($E$307:E358))</f>
        <v>45</v>
      </c>
      <c r="C358" s="53" t="s">
        <v>150</v>
      </c>
      <c r="D358" s="58" t="s">
        <v>855</v>
      </c>
      <c r="E358" s="67">
        <v>1974</v>
      </c>
      <c r="F358" s="68">
        <v>1392.4</v>
      </c>
      <c r="G358" s="68">
        <v>777</v>
      </c>
      <c r="H358" s="68">
        <v>615.4</v>
      </c>
      <c r="I358" s="60" t="s">
        <v>35</v>
      </c>
      <c r="J358" s="60"/>
      <c r="K358" s="60"/>
      <c r="L358" s="60"/>
      <c r="M358" s="60"/>
      <c r="N358" s="60"/>
      <c r="O358" s="60"/>
      <c r="P358" s="60">
        <f t="shared" si="312"/>
        <v>2672015.6</v>
      </c>
      <c r="Q358" s="60"/>
      <c r="R358" s="60">
        <f t="shared" si="313"/>
        <v>2580117.2000000002</v>
      </c>
      <c r="S358" s="60"/>
      <c r="T358" s="60"/>
      <c r="U358" s="60">
        <f>119*F358</f>
        <v>165695.6</v>
      </c>
      <c r="V358" s="60"/>
      <c r="W358" s="62">
        <f t="shared" si="314"/>
        <v>5417828.4000000004</v>
      </c>
      <c r="X358" s="60" t="s">
        <v>18</v>
      </c>
      <c r="Y358" s="59">
        <v>0</v>
      </c>
      <c r="Z358" s="59">
        <v>0</v>
      </c>
      <c r="AA358" s="59">
        <v>0</v>
      </c>
      <c r="AB358" s="54">
        <f t="shared" si="315"/>
        <v>5417828.4000000004</v>
      </c>
    </row>
    <row r="359" spans="1:28" s="31" customFormat="1" ht="52.5" customHeight="1" x14ac:dyDescent="0.35">
      <c r="B359" s="53">
        <f>IF(OR(E359=0,E359=""),"",COUNTA($E$307:E359))</f>
        <v>46</v>
      </c>
      <c r="C359" s="53" t="s">
        <v>148</v>
      </c>
      <c r="D359" s="58" t="s">
        <v>856</v>
      </c>
      <c r="E359" s="67">
        <v>1972</v>
      </c>
      <c r="F359" s="68">
        <v>851.5</v>
      </c>
      <c r="G359" s="68">
        <v>766.9</v>
      </c>
      <c r="H359" s="68">
        <v>0</v>
      </c>
      <c r="I359" s="60" t="s">
        <v>35</v>
      </c>
      <c r="J359" s="60"/>
      <c r="K359" s="60">
        <f>577*F359</f>
        <v>491315.5</v>
      </c>
      <c r="L359" s="60"/>
      <c r="M359" s="60">
        <f>F359*193</f>
        <v>164339.5</v>
      </c>
      <c r="N359" s="60">
        <f>F359*124</f>
        <v>105586</v>
      </c>
      <c r="O359" s="60"/>
      <c r="P359" s="60">
        <f t="shared" si="312"/>
        <v>1634028.5</v>
      </c>
      <c r="Q359" s="60">
        <f>F359*48</f>
        <v>40872</v>
      </c>
      <c r="R359" s="60">
        <f t="shared" si="313"/>
        <v>1577829.5</v>
      </c>
      <c r="S359" s="60">
        <f>F359*114</f>
        <v>97071</v>
      </c>
      <c r="T359" s="60"/>
      <c r="U359" s="60">
        <f>252*F359</f>
        <v>214578</v>
      </c>
      <c r="V359" s="60"/>
      <c r="W359" s="62">
        <f t="shared" si="314"/>
        <v>4325620</v>
      </c>
      <c r="X359" s="60" t="s">
        <v>18</v>
      </c>
      <c r="Y359" s="59">
        <v>0</v>
      </c>
      <c r="Z359" s="59">
        <v>0</v>
      </c>
      <c r="AA359" s="59">
        <v>0</v>
      </c>
      <c r="AB359" s="54">
        <f t="shared" si="315"/>
        <v>4325620</v>
      </c>
    </row>
    <row r="360" spans="1:28" s="31" customFormat="1" ht="52.5" customHeight="1" x14ac:dyDescent="0.35">
      <c r="B360" s="53">
        <f>IF(OR(E360=0,E360=""),"",COUNTA($E$307:E360))</f>
        <v>47</v>
      </c>
      <c r="C360" s="53" t="s">
        <v>149</v>
      </c>
      <c r="D360" s="58" t="s">
        <v>857</v>
      </c>
      <c r="E360" s="67">
        <v>1973</v>
      </c>
      <c r="F360" s="68">
        <v>849.4</v>
      </c>
      <c r="G360" s="68">
        <v>764.8</v>
      </c>
      <c r="H360" s="68">
        <v>0</v>
      </c>
      <c r="I360" s="60" t="s">
        <v>35</v>
      </c>
      <c r="J360" s="60"/>
      <c r="K360" s="60">
        <f>577*F360</f>
        <v>490103.8</v>
      </c>
      <c r="L360" s="60"/>
      <c r="M360" s="60">
        <f>F360*193</f>
        <v>163934.20000000001</v>
      </c>
      <c r="N360" s="60">
        <f>F360*124</f>
        <v>105325.6</v>
      </c>
      <c r="O360" s="60"/>
      <c r="P360" s="60">
        <f t="shared" si="312"/>
        <v>1629998.6</v>
      </c>
      <c r="Q360" s="60">
        <f>F360*48</f>
        <v>40771.199999999997</v>
      </c>
      <c r="R360" s="60">
        <f t="shared" si="313"/>
        <v>1573938.2</v>
      </c>
      <c r="S360" s="60">
        <f>F360*114</f>
        <v>96831.6</v>
      </c>
      <c r="T360" s="60"/>
      <c r="U360" s="60">
        <f>252*F360</f>
        <v>214048.8</v>
      </c>
      <c r="V360" s="60"/>
      <c r="W360" s="62">
        <f t="shared" si="314"/>
        <v>4314952</v>
      </c>
      <c r="X360" s="60" t="s">
        <v>18</v>
      </c>
      <c r="Y360" s="59">
        <v>0</v>
      </c>
      <c r="Z360" s="59">
        <v>0</v>
      </c>
      <c r="AA360" s="59">
        <v>0</v>
      </c>
      <c r="AB360" s="54">
        <f t="shared" si="315"/>
        <v>4314952</v>
      </c>
    </row>
    <row r="361" spans="1:28" s="31" customFormat="1" ht="52.5" customHeight="1" x14ac:dyDescent="0.35">
      <c r="A361" s="31">
        <v>2019</v>
      </c>
      <c r="B361" s="53">
        <f>IF(OR(E361=0,E361=""),"",COUNTA($E$307:E361))</f>
        <v>48</v>
      </c>
      <c r="C361" s="53" t="s">
        <v>151</v>
      </c>
      <c r="D361" s="58" t="s">
        <v>858</v>
      </c>
      <c r="E361" s="67">
        <v>1974</v>
      </c>
      <c r="F361" s="68">
        <v>1387.6</v>
      </c>
      <c r="G361" s="68">
        <v>773.2</v>
      </c>
      <c r="H361" s="68">
        <v>614.4</v>
      </c>
      <c r="I361" s="60" t="s">
        <v>35</v>
      </c>
      <c r="J361" s="60"/>
      <c r="K361" s="60"/>
      <c r="L361" s="60"/>
      <c r="M361" s="60"/>
      <c r="N361" s="60"/>
      <c r="O361" s="60"/>
      <c r="P361" s="60">
        <f t="shared" si="312"/>
        <v>2662804.4</v>
      </c>
      <c r="Q361" s="60"/>
      <c r="R361" s="60">
        <f t="shared" si="313"/>
        <v>2571222.7999999998</v>
      </c>
      <c r="S361" s="60"/>
      <c r="T361" s="60"/>
      <c r="U361" s="60">
        <f>119*F361</f>
        <v>165124.4</v>
      </c>
      <c r="V361" s="60"/>
      <c r="W361" s="62">
        <f t="shared" si="314"/>
        <v>5399151.5999999996</v>
      </c>
      <c r="X361" s="60" t="s">
        <v>18</v>
      </c>
      <c r="Y361" s="59">
        <v>0</v>
      </c>
      <c r="Z361" s="59">
        <v>0</v>
      </c>
      <c r="AA361" s="59">
        <v>0</v>
      </c>
      <c r="AB361" s="54">
        <f t="shared" si="315"/>
        <v>5399151.5999999996</v>
      </c>
    </row>
    <row r="362" spans="1:28" s="31" customFormat="1" ht="52.5" customHeight="1" x14ac:dyDescent="0.35">
      <c r="A362" s="31">
        <v>2019</v>
      </c>
      <c r="B362" s="53">
        <f>IF(OR(E362=0,E362=""),"",COUNTA($E$307:E362))</f>
        <v>49</v>
      </c>
      <c r="C362" s="53" t="s">
        <v>152</v>
      </c>
      <c r="D362" s="58" t="s">
        <v>859</v>
      </c>
      <c r="E362" s="67">
        <v>1975</v>
      </c>
      <c r="F362" s="68">
        <v>1514.3</v>
      </c>
      <c r="G362" s="68">
        <v>862.4</v>
      </c>
      <c r="H362" s="68">
        <v>651.9</v>
      </c>
      <c r="I362" s="60" t="s">
        <v>35</v>
      </c>
      <c r="J362" s="60"/>
      <c r="K362" s="60"/>
      <c r="L362" s="60"/>
      <c r="M362" s="60"/>
      <c r="N362" s="60"/>
      <c r="O362" s="60"/>
      <c r="P362" s="60">
        <f t="shared" si="312"/>
        <v>2905941.7</v>
      </c>
      <c r="Q362" s="60"/>
      <c r="R362" s="60">
        <f t="shared" si="313"/>
        <v>2805997.9</v>
      </c>
      <c r="S362" s="60"/>
      <c r="T362" s="60"/>
      <c r="U362" s="60">
        <f>119*F362</f>
        <v>180201.7</v>
      </c>
      <c r="V362" s="60"/>
      <c r="W362" s="62">
        <f t="shared" si="314"/>
        <v>5892141.2999999998</v>
      </c>
      <c r="X362" s="60" t="s">
        <v>18</v>
      </c>
      <c r="Y362" s="59">
        <v>0</v>
      </c>
      <c r="Z362" s="59">
        <v>0</v>
      </c>
      <c r="AA362" s="59">
        <v>0</v>
      </c>
      <c r="AB362" s="54">
        <f t="shared" si="315"/>
        <v>5892141.2999999998</v>
      </c>
    </row>
    <row r="363" spans="1:28" s="31" customFormat="1" ht="52.5" customHeight="1" x14ac:dyDescent="0.35">
      <c r="A363" s="31">
        <v>2019</v>
      </c>
      <c r="B363" s="53" t="str">
        <f>IF(OR(E363=0,E363=""),"",COUNTA($E$307:E363))</f>
        <v/>
      </c>
      <c r="C363" s="53"/>
      <c r="D363" s="58"/>
      <c r="E363" s="59"/>
      <c r="F363" s="54">
        <f>SUM(F355:F362)</f>
        <v>9715</v>
      </c>
      <c r="G363" s="54">
        <f>SUM(G355:G362)</f>
        <v>6520.3</v>
      </c>
      <c r="H363" s="54">
        <f>SUM(H355:H362)</f>
        <v>3012.9</v>
      </c>
      <c r="I363" s="54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54">
        <f>SUM(W355:W362)</f>
        <v>39823435.100000001</v>
      </c>
      <c r="X363" s="60"/>
      <c r="Y363" s="52">
        <v>0</v>
      </c>
      <c r="Z363" s="52">
        <v>0</v>
      </c>
      <c r="AA363" s="52">
        <v>0</v>
      </c>
      <c r="AB363" s="54">
        <f t="shared" si="315"/>
        <v>39823435.100000001</v>
      </c>
    </row>
    <row r="364" spans="1:28" s="33" customFormat="1" ht="52.5" customHeight="1" x14ac:dyDescent="0.35">
      <c r="A364" s="31">
        <v>2019</v>
      </c>
      <c r="B364" s="53" t="str">
        <f>IF(OR(E364=0,E364=""),"",COUNTA($E$307:E364))</f>
        <v/>
      </c>
      <c r="C364" s="53"/>
      <c r="D364" s="57" t="s">
        <v>83</v>
      </c>
      <c r="E364" s="58"/>
      <c r="F364" s="60"/>
      <c r="G364" s="60"/>
      <c r="H364" s="60"/>
      <c r="I364" s="54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59"/>
      <c r="Z364" s="59"/>
      <c r="AA364" s="59"/>
      <c r="AB364" s="54"/>
    </row>
    <row r="365" spans="1:28" s="31" customFormat="1" ht="52.5" customHeight="1" x14ac:dyDescent="0.35">
      <c r="B365" s="53">
        <f>IF(OR(E365=0,E365=""),"",COUNTA($E$307:E365))</f>
        <v>50</v>
      </c>
      <c r="C365" s="53" t="s">
        <v>155</v>
      </c>
      <c r="D365" s="58" t="s">
        <v>61</v>
      </c>
      <c r="E365" s="59">
        <v>1975</v>
      </c>
      <c r="F365" s="60">
        <v>766.5</v>
      </c>
      <c r="G365" s="60">
        <v>710.1</v>
      </c>
      <c r="H365" s="59">
        <v>56.4</v>
      </c>
      <c r="I365" s="60" t="s">
        <v>35</v>
      </c>
      <c r="J365" s="60"/>
      <c r="K365" s="60"/>
      <c r="L365" s="60"/>
      <c r="M365" s="60"/>
      <c r="N365" s="60"/>
      <c r="O365" s="60"/>
      <c r="P365" s="60">
        <f t="shared" ref="P365" si="316">1919*F365</f>
        <v>1470913.5</v>
      </c>
      <c r="Q365" s="60"/>
      <c r="R365" s="60"/>
      <c r="S365" s="60"/>
      <c r="T365" s="60"/>
      <c r="U365" s="60"/>
      <c r="V365" s="60"/>
      <c r="W365" s="60">
        <v>1362681.9</v>
      </c>
      <c r="X365" s="60" t="s">
        <v>18</v>
      </c>
      <c r="Y365" s="59">
        <v>0</v>
      </c>
      <c r="Z365" s="59">
        <v>0</v>
      </c>
      <c r="AA365" s="59">
        <v>0</v>
      </c>
      <c r="AB365" s="54">
        <v>1362681.9</v>
      </c>
    </row>
    <row r="366" spans="1:28" s="31" customFormat="1" ht="52.5" customHeight="1" x14ac:dyDescent="0.35">
      <c r="A366" s="31">
        <v>2019</v>
      </c>
      <c r="B366" s="53" t="str">
        <f>IF(OR(E366=0,E366=""),"",COUNTA($E$307:E366))</f>
        <v/>
      </c>
      <c r="C366" s="53"/>
      <c r="D366" s="58"/>
      <c r="E366" s="59"/>
      <c r="F366" s="54">
        <f>SUM(F365:F365)</f>
        <v>766.5</v>
      </c>
      <c r="G366" s="54">
        <f>SUM(G365:G365)</f>
        <v>710.1</v>
      </c>
      <c r="H366" s="54">
        <f>SUM(H365:H365)</f>
        <v>56.4</v>
      </c>
      <c r="I366" s="54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56">
        <f>SUM(W365:W365)</f>
        <v>1362681.9</v>
      </c>
      <c r="X366" s="60"/>
      <c r="Y366" s="52">
        <v>0</v>
      </c>
      <c r="Z366" s="52">
        <v>0</v>
      </c>
      <c r="AA366" s="52">
        <v>0</v>
      </c>
      <c r="AB366" s="54">
        <f>SUM(AB365:AB365)</f>
        <v>1362681.9</v>
      </c>
    </row>
    <row r="367" spans="1:28" s="33" customFormat="1" ht="52.5" customHeight="1" x14ac:dyDescent="0.35">
      <c r="A367" s="31">
        <v>2019</v>
      </c>
      <c r="B367" s="53" t="str">
        <f>IF(OR(E367=0,E367=""),"",COUNTA($E$307:E367))</f>
        <v/>
      </c>
      <c r="C367" s="53"/>
      <c r="D367" s="57" t="s">
        <v>60</v>
      </c>
      <c r="E367" s="57"/>
      <c r="F367" s="54"/>
      <c r="G367" s="54"/>
      <c r="H367" s="54"/>
      <c r="I367" s="54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54"/>
      <c r="X367" s="60"/>
      <c r="Y367" s="53"/>
      <c r="Z367" s="53"/>
      <c r="AA367" s="53"/>
      <c r="AB367" s="54"/>
    </row>
    <row r="368" spans="1:28" s="31" customFormat="1" ht="52.5" customHeight="1" x14ac:dyDescent="0.35">
      <c r="A368" s="31">
        <v>2019</v>
      </c>
      <c r="B368" s="53">
        <f>IF(OR(E368=0,E368=""),"",COUNTA($E$307:E368))</f>
        <v>51</v>
      </c>
      <c r="C368" s="53" t="s">
        <v>162</v>
      </c>
      <c r="D368" s="58" t="s">
        <v>860</v>
      </c>
      <c r="E368" s="59">
        <v>1937</v>
      </c>
      <c r="F368" s="60">
        <v>707.1</v>
      </c>
      <c r="G368" s="60">
        <v>293.60000000000002</v>
      </c>
      <c r="H368" s="60">
        <v>0</v>
      </c>
      <c r="I368" s="60" t="s">
        <v>35</v>
      </c>
      <c r="J368" s="60"/>
      <c r="K368" s="60"/>
      <c r="L368" s="60"/>
      <c r="M368" s="60"/>
      <c r="N368" s="60"/>
      <c r="O368" s="60"/>
      <c r="P368" s="60">
        <f t="shared" ref="P368:P387" si="317">1919*F368</f>
        <v>1356924.9</v>
      </c>
      <c r="Q368" s="60"/>
      <c r="R368" s="60">
        <f t="shared" ref="R368:R384" si="318">1853*F368</f>
        <v>1310256.3</v>
      </c>
      <c r="S368" s="60"/>
      <c r="T368" s="60"/>
      <c r="U368" s="60">
        <f t="shared" ref="U368:U386" si="319">119*F368</f>
        <v>84144.9</v>
      </c>
      <c r="V368" s="60"/>
      <c r="W368" s="62">
        <f t="shared" ref="W368:W387" si="320">V368+U368+T368+S368+R368+Q368+P368+O368+N368+M368+L368+K368+J368</f>
        <v>2751326.1</v>
      </c>
      <c r="X368" s="60" t="s">
        <v>18</v>
      </c>
      <c r="Y368" s="59">
        <v>0</v>
      </c>
      <c r="Z368" s="59">
        <v>0</v>
      </c>
      <c r="AA368" s="59">
        <v>0</v>
      </c>
      <c r="AB368" s="54">
        <f t="shared" ref="AB368:AB387" si="321">W368-(Y368+Z368+AA368)</f>
        <v>2751326.1</v>
      </c>
    </row>
    <row r="369" spans="1:28" s="31" customFormat="1" ht="52.5" customHeight="1" x14ac:dyDescent="0.35">
      <c r="A369" s="31">
        <v>2019</v>
      </c>
      <c r="B369" s="53">
        <f>IF(OR(E369=0,E369=""),"",COUNTA($E$307:E369))</f>
        <v>52</v>
      </c>
      <c r="C369" s="53" t="s">
        <v>174</v>
      </c>
      <c r="D369" s="58" t="s">
        <v>861</v>
      </c>
      <c r="E369" s="59">
        <v>1961</v>
      </c>
      <c r="F369" s="60">
        <v>1208</v>
      </c>
      <c r="G369" s="60">
        <v>991.8</v>
      </c>
      <c r="H369" s="60">
        <v>143.6</v>
      </c>
      <c r="I369" s="60" t="s">
        <v>34</v>
      </c>
      <c r="J369" s="60"/>
      <c r="K369" s="60"/>
      <c r="L369" s="60"/>
      <c r="M369" s="60"/>
      <c r="N369" s="60"/>
      <c r="O369" s="60"/>
      <c r="P369" s="60">
        <f t="shared" si="317"/>
        <v>2318152</v>
      </c>
      <c r="Q369" s="60"/>
      <c r="R369" s="60">
        <f t="shared" si="318"/>
        <v>2238424</v>
      </c>
      <c r="S369" s="60"/>
      <c r="T369" s="60"/>
      <c r="U369" s="60">
        <f t="shared" si="319"/>
        <v>143752</v>
      </c>
      <c r="V369" s="60"/>
      <c r="W369" s="62">
        <f t="shared" si="320"/>
        <v>4700328</v>
      </c>
      <c r="X369" s="60" t="s">
        <v>18</v>
      </c>
      <c r="Y369" s="59">
        <v>0</v>
      </c>
      <c r="Z369" s="59">
        <v>0</v>
      </c>
      <c r="AA369" s="59">
        <v>0</v>
      </c>
      <c r="AB369" s="54">
        <f t="shared" si="321"/>
        <v>4700328</v>
      </c>
    </row>
    <row r="370" spans="1:28" s="31" customFormat="1" ht="52.5" customHeight="1" x14ac:dyDescent="0.35">
      <c r="A370" s="31">
        <v>2019</v>
      </c>
      <c r="B370" s="53">
        <f>IF(OR(E370=0,E370=""),"",COUNTA($E$307:E370))</f>
        <v>53</v>
      </c>
      <c r="C370" s="53" t="s">
        <v>160</v>
      </c>
      <c r="D370" s="58" t="s">
        <v>862</v>
      </c>
      <c r="E370" s="59">
        <v>1937</v>
      </c>
      <c r="F370" s="60">
        <v>695.6</v>
      </c>
      <c r="G370" s="60">
        <v>303.10000000000002</v>
      </c>
      <c r="H370" s="60">
        <v>0</v>
      </c>
      <c r="I370" s="60" t="s">
        <v>35</v>
      </c>
      <c r="J370" s="60"/>
      <c r="K370" s="60"/>
      <c r="L370" s="60"/>
      <c r="M370" s="60"/>
      <c r="N370" s="60"/>
      <c r="O370" s="60"/>
      <c r="P370" s="60">
        <f t="shared" si="317"/>
        <v>1334856.3999999999</v>
      </c>
      <c r="Q370" s="60"/>
      <c r="R370" s="60">
        <f t="shared" si="318"/>
        <v>1288946.8</v>
      </c>
      <c r="S370" s="60"/>
      <c r="T370" s="60"/>
      <c r="U370" s="60">
        <f t="shared" si="319"/>
        <v>82776.399999999994</v>
      </c>
      <c r="V370" s="60"/>
      <c r="W370" s="62">
        <f t="shared" si="320"/>
        <v>2706579.6</v>
      </c>
      <c r="X370" s="60" t="s">
        <v>18</v>
      </c>
      <c r="Y370" s="59">
        <v>0</v>
      </c>
      <c r="Z370" s="59">
        <v>0</v>
      </c>
      <c r="AA370" s="59">
        <v>0</v>
      </c>
      <c r="AB370" s="54">
        <f t="shared" si="321"/>
        <v>2706579.6</v>
      </c>
    </row>
    <row r="371" spans="1:28" s="31" customFormat="1" ht="52.5" customHeight="1" x14ac:dyDescent="0.35">
      <c r="A371" s="31">
        <v>2019</v>
      </c>
      <c r="B371" s="53">
        <f>IF(OR(E371=0,E371=""),"",COUNTA($E$307:E371))</f>
        <v>54</v>
      </c>
      <c r="C371" s="53" t="s">
        <v>161</v>
      </c>
      <c r="D371" s="58" t="s">
        <v>863</v>
      </c>
      <c r="E371" s="59">
        <v>1936</v>
      </c>
      <c r="F371" s="60">
        <v>699.6</v>
      </c>
      <c r="G371" s="60">
        <v>477.2</v>
      </c>
      <c r="H371" s="60">
        <v>0</v>
      </c>
      <c r="I371" s="60" t="s">
        <v>35</v>
      </c>
      <c r="J371" s="60"/>
      <c r="K371" s="60"/>
      <c r="L371" s="60"/>
      <c r="M371" s="60"/>
      <c r="N371" s="60"/>
      <c r="O371" s="60"/>
      <c r="P371" s="60">
        <f t="shared" si="317"/>
        <v>1342532.4</v>
      </c>
      <c r="Q371" s="60"/>
      <c r="R371" s="60">
        <f t="shared" si="318"/>
        <v>1296358.8</v>
      </c>
      <c r="S371" s="60"/>
      <c r="T371" s="60"/>
      <c r="U371" s="60"/>
      <c r="V371" s="60"/>
      <c r="W371" s="62">
        <f t="shared" si="320"/>
        <v>2638891.2000000002</v>
      </c>
      <c r="X371" s="60" t="s">
        <v>18</v>
      </c>
      <c r="Y371" s="59">
        <v>0</v>
      </c>
      <c r="Z371" s="59">
        <v>0</v>
      </c>
      <c r="AA371" s="59">
        <v>0</v>
      </c>
      <c r="AB371" s="54">
        <f t="shared" si="321"/>
        <v>2638891.2000000002</v>
      </c>
    </row>
    <row r="372" spans="1:28" s="31" customFormat="1" ht="52.5" customHeight="1" x14ac:dyDescent="0.35">
      <c r="A372" s="31">
        <v>2019</v>
      </c>
      <c r="B372" s="53">
        <f>IF(OR(E372=0,E372=""),"",COUNTA($E$307:E372))</f>
        <v>55</v>
      </c>
      <c r="C372" s="53" t="s">
        <v>165</v>
      </c>
      <c r="D372" s="58" t="s">
        <v>864</v>
      </c>
      <c r="E372" s="59">
        <v>1936</v>
      </c>
      <c r="F372" s="60">
        <v>712.5</v>
      </c>
      <c r="G372" s="60">
        <v>319.7</v>
      </c>
      <c r="H372" s="60">
        <v>0</v>
      </c>
      <c r="I372" s="60" t="s">
        <v>35</v>
      </c>
      <c r="J372" s="60"/>
      <c r="K372" s="60"/>
      <c r="L372" s="60"/>
      <c r="M372" s="60"/>
      <c r="N372" s="60"/>
      <c r="O372" s="60"/>
      <c r="P372" s="60">
        <f t="shared" si="317"/>
        <v>1367287.5</v>
      </c>
      <c r="Q372" s="60"/>
      <c r="R372" s="60">
        <f t="shared" si="318"/>
        <v>1320262.5</v>
      </c>
      <c r="S372" s="60"/>
      <c r="T372" s="60"/>
      <c r="U372" s="60">
        <f t="shared" si="319"/>
        <v>84787.5</v>
      </c>
      <c r="V372" s="60"/>
      <c r="W372" s="62">
        <f t="shared" si="320"/>
        <v>2772337.5</v>
      </c>
      <c r="X372" s="60" t="s">
        <v>18</v>
      </c>
      <c r="Y372" s="59">
        <v>0</v>
      </c>
      <c r="Z372" s="59">
        <v>0</v>
      </c>
      <c r="AA372" s="59">
        <v>0</v>
      </c>
      <c r="AB372" s="54">
        <f t="shared" si="321"/>
        <v>2772337.5</v>
      </c>
    </row>
    <row r="373" spans="1:28" s="31" customFormat="1" ht="52.5" customHeight="1" x14ac:dyDescent="0.35">
      <c r="A373" s="31">
        <v>2019</v>
      </c>
      <c r="B373" s="53">
        <f>IF(OR(E373=0,E373=""),"",COUNTA($E$307:E373))</f>
        <v>56</v>
      </c>
      <c r="C373" s="53" t="s">
        <v>168</v>
      </c>
      <c r="D373" s="58" t="s">
        <v>865</v>
      </c>
      <c r="E373" s="59">
        <v>1936</v>
      </c>
      <c r="F373" s="60">
        <v>609</v>
      </c>
      <c r="G373" s="60">
        <v>426.8</v>
      </c>
      <c r="H373" s="60">
        <v>0</v>
      </c>
      <c r="I373" s="60" t="s">
        <v>35</v>
      </c>
      <c r="J373" s="60"/>
      <c r="K373" s="60"/>
      <c r="L373" s="60"/>
      <c r="M373" s="60"/>
      <c r="N373" s="60"/>
      <c r="O373" s="60"/>
      <c r="P373" s="60">
        <f t="shared" si="317"/>
        <v>1168671</v>
      </c>
      <c r="Q373" s="60"/>
      <c r="R373" s="60">
        <f t="shared" si="318"/>
        <v>1128477</v>
      </c>
      <c r="S373" s="60"/>
      <c r="T373" s="60"/>
      <c r="U373" s="60">
        <f t="shared" si="319"/>
        <v>72471</v>
      </c>
      <c r="V373" s="60"/>
      <c r="W373" s="62">
        <f t="shared" si="320"/>
        <v>2369619</v>
      </c>
      <c r="X373" s="60" t="s">
        <v>18</v>
      </c>
      <c r="Y373" s="59">
        <v>0</v>
      </c>
      <c r="Z373" s="59">
        <v>0</v>
      </c>
      <c r="AA373" s="59">
        <v>0</v>
      </c>
      <c r="AB373" s="54">
        <f t="shared" si="321"/>
        <v>2369619</v>
      </c>
    </row>
    <row r="374" spans="1:28" s="31" customFormat="1" ht="52.5" customHeight="1" x14ac:dyDescent="0.35">
      <c r="A374" s="31">
        <v>2019</v>
      </c>
      <c r="B374" s="53">
        <f>IF(OR(E374=0,E374=""),"",COUNTA($E$307:E374))</f>
        <v>57</v>
      </c>
      <c r="C374" s="53" t="s">
        <v>169</v>
      </c>
      <c r="D374" s="58" t="s">
        <v>866</v>
      </c>
      <c r="E374" s="59">
        <v>1936</v>
      </c>
      <c r="F374" s="60">
        <v>610</v>
      </c>
      <c r="G374" s="60">
        <v>303.39999999999998</v>
      </c>
      <c r="H374" s="60">
        <v>0</v>
      </c>
      <c r="I374" s="60" t="s">
        <v>35</v>
      </c>
      <c r="J374" s="60"/>
      <c r="K374" s="60"/>
      <c r="L374" s="60"/>
      <c r="M374" s="60"/>
      <c r="N374" s="60"/>
      <c r="O374" s="60"/>
      <c r="P374" s="60">
        <f t="shared" si="317"/>
        <v>1170590</v>
      </c>
      <c r="Q374" s="60"/>
      <c r="R374" s="60">
        <f t="shared" si="318"/>
        <v>1130330</v>
      </c>
      <c r="S374" s="60"/>
      <c r="T374" s="60"/>
      <c r="U374" s="60">
        <f t="shared" si="319"/>
        <v>72590</v>
      </c>
      <c r="V374" s="60"/>
      <c r="W374" s="62">
        <f t="shared" si="320"/>
        <v>2373510</v>
      </c>
      <c r="X374" s="60" t="s">
        <v>18</v>
      </c>
      <c r="Y374" s="59">
        <v>0</v>
      </c>
      <c r="Z374" s="59">
        <v>0</v>
      </c>
      <c r="AA374" s="59">
        <v>0</v>
      </c>
      <c r="AB374" s="54">
        <f t="shared" si="321"/>
        <v>2373510</v>
      </c>
    </row>
    <row r="375" spans="1:28" s="31" customFormat="1" ht="52.5" customHeight="1" x14ac:dyDescent="0.35">
      <c r="A375" s="31">
        <v>2019</v>
      </c>
      <c r="B375" s="53">
        <f>IF(OR(E375=0,E375=""),"",COUNTA($E$307:E375))</f>
        <v>58</v>
      </c>
      <c r="C375" s="53" t="s">
        <v>170</v>
      </c>
      <c r="D375" s="58" t="s">
        <v>867</v>
      </c>
      <c r="E375" s="59">
        <v>1936</v>
      </c>
      <c r="F375" s="60">
        <v>627.29999999999995</v>
      </c>
      <c r="G375" s="60">
        <v>307.10000000000002</v>
      </c>
      <c r="H375" s="60">
        <v>0</v>
      </c>
      <c r="I375" s="60" t="s">
        <v>35</v>
      </c>
      <c r="J375" s="60"/>
      <c r="K375" s="60"/>
      <c r="L375" s="60"/>
      <c r="M375" s="60"/>
      <c r="N375" s="60"/>
      <c r="O375" s="60"/>
      <c r="P375" s="60">
        <f t="shared" si="317"/>
        <v>1203788.7</v>
      </c>
      <c r="Q375" s="60"/>
      <c r="R375" s="60">
        <f t="shared" si="318"/>
        <v>1162386.8999999999</v>
      </c>
      <c r="S375" s="60"/>
      <c r="T375" s="60"/>
      <c r="U375" s="60">
        <f t="shared" si="319"/>
        <v>74648.7</v>
      </c>
      <c r="V375" s="60"/>
      <c r="W375" s="62">
        <f t="shared" si="320"/>
        <v>2440824.2999999998</v>
      </c>
      <c r="X375" s="60" t="s">
        <v>18</v>
      </c>
      <c r="Y375" s="59">
        <v>0</v>
      </c>
      <c r="Z375" s="59">
        <v>0</v>
      </c>
      <c r="AA375" s="59">
        <v>0</v>
      </c>
      <c r="AB375" s="54">
        <f t="shared" si="321"/>
        <v>2440824.2999999998</v>
      </c>
    </row>
    <row r="376" spans="1:28" s="31" customFormat="1" ht="52.5" customHeight="1" x14ac:dyDescent="0.35">
      <c r="A376" s="31">
        <v>2019</v>
      </c>
      <c r="B376" s="53">
        <f>IF(OR(E376=0,E376=""),"",COUNTA($E$307:E376))</f>
        <v>59</v>
      </c>
      <c r="C376" s="53" t="s">
        <v>175</v>
      </c>
      <c r="D376" s="58" t="s">
        <v>868</v>
      </c>
      <c r="E376" s="59">
        <v>1961</v>
      </c>
      <c r="F376" s="60">
        <v>671.3</v>
      </c>
      <c r="G376" s="60">
        <v>622</v>
      </c>
      <c r="H376" s="60">
        <v>0</v>
      </c>
      <c r="I376" s="60" t="s">
        <v>35</v>
      </c>
      <c r="J376" s="60"/>
      <c r="K376" s="60"/>
      <c r="L376" s="60"/>
      <c r="M376" s="60"/>
      <c r="N376" s="60"/>
      <c r="O376" s="60"/>
      <c r="P376" s="60">
        <f t="shared" si="317"/>
        <v>1288224.7</v>
      </c>
      <c r="Q376" s="60"/>
      <c r="R376" s="60">
        <f t="shared" si="318"/>
        <v>1243918.8999999999</v>
      </c>
      <c r="S376" s="60"/>
      <c r="T376" s="60"/>
      <c r="U376" s="60"/>
      <c r="V376" s="60"/>
      <c r="W376" s="62">
        <f t="shared" si="320"/>
        <v>2532143.6</v>
      </c>
      <c r="X376" s="60" t="s">
        <v>18</v>
      </c>
      <c r="Y376" s="59">
        <v>0</v>
      </c>
      <c r="Z376" s="59">
        <v>0</v>
      </c>
      <c r="AA376" s="59">
        <v>0</v>
      </c>
      <c r="AB376" s="54">
        <f t="shared" si="321"/>
        <v>2532143.6</v>
      </c>
    </row>
    <row r="377" spans="1:28" s="31" customFormat="1" ht="52.5" customHeight="1" x14ac:dyDescent="0.35">
      <c r="A377" s="31">
        <v>2019</v>
      </c>
      <c r="B377" s="53">
        <f>IF(OR(E377=0,E377=""),"",COUNTA($E$307:E377))</f>
        <v>60</v>
      </c>
      <c r="C377" s="53" t="s">
        <v>158</v>
      </c>
      <c r="D377" s="58" t="s">
        <v>869</v>
      </c>
      <c r="E377" s="59">
        <v>1935</v>
      </c>
      <c r="F377" s="60">
        <v>689</v>
      </c>
      <c r="G377" s="60">
        <v>477.5</v>
      </c>
      <c r="H377" s="60">
        <v>0</v>
      </c>
      <c r="I377" s="60" t="s">
        <v>35</v>
      </c>
      <c r="J377" s="60"/>
      <c r="K377" s="60"/>
      <c r="L377" s="60"/>
      <c r="M377" s="60"/>
      <c r="N377" s="60"/>
      <c r="O377" s="60"/>
      <c r="P377" s="60">
        <f t="shared" si="317"/>
        <v>1322191</v>
      </c>
      <c r="Q377" s="60"/>
      <c r="R377" s="60">
        <f t="shared" si="318"/>
        <v>1276717</v>
      </c>
      <c r="S377" s="60"/>
      <c r="T377" s="60"/>
      <c r="U377" s="60">
        <f t="shared" si="319"/>
        <v>81991</v>
      </c>
      <c r="V377" s="60"/>
      <c r="W377" s="62">
        <f t="shared" si="320"/>
        <v>2680899</v>
      </c>
      <c r="X377" s="60" t="s">
        <v>18</v>
      </c>
      <c r="Y377" s="59">
        <v>0</v>
      </c>
      <c r="Z377" s="59">
        <v>0</v>
      </c>
      <c r="AA377" s="59">
        <v>0</v>
      </c>
      <c r="AB377" s="54">
        <f t="shared" si="321"/>
        <v>2680899</v>
      </c>
    </row>
    <row r="378" spans="1:28" s="31" customFormat="1" ht="52.5" customHeight="1" x14ac:dyDescent="0.35">
      <c r="A378" s="31">
        <v>2019</v>
      </c>
      <c r="B378" s="53">
        <f>IF(OR(E378=0,E378=""),"",COUNTA($E$307:E378))</f>
        <v>61</v>
      </c>
      <c r="C378" s="53" t="s">
        <v>159</v>
      </c>
      <c r="D378" s="58" t="s">
        <v>870</v>
      </c>
      <c r="E378" s="59">
        <v>1953</v>
      </c>
      <c r="F378" s="60">
        <v>718.2</v>
      </c>
      <c r="G378" s="60">
        <v>490.3</v>
      </c>
      <c r="H378" s="60">
        <v>0</v>
      </c>
      <c r="I378" s="60" t="s">
        <v>35</v>
      </c>
      <c r="J378" s="60"/>
      <c r="K378" s="60"/>
      <c r="L378" s="60"/>
      <c r="M378" s="60"/>
      <c r="N378" s="60"/>
      <c r="O378" s="60"/>
      <c r="P378" s="60">
        <f t="shared" si="317"/>
        <v>1378225.8</v>
      </c>
      <c r="Q378" s="60"/>
      <c r="R378" s="60">
        <f t="shared" si="318"/>
        <v>1330824.6000000001</v>
      </c>
      <c r="S378" s="60"/>
      <c r="T378" s="60"/>
      <c r="U378" s="60">
        <f t="shared" si="319"/>
        <v>85465.8</v>
      </c>
      <c r="V378" s="60"/>
      <c r="W378" s="62">
        <f t="shared" si="320"/>
        <v>2794516.2</v>
      </c>
      <c r="X378" s="60" t="s">
        <v>18</v>
      </c>
      <c r="Y378" s="59">
        <v>0</v>
      </c>
      <c r="Z378" s="59">
        <v>0</v>
      </c>
      <c r="AA378" s="59">
        <v>0</v>
      </c>
      <c r="AB378" s="54">
        <f t="shared" si="321"/>
        <v>2794516.2</v>
      </c>
    </row>
    <row r="379" spans="1:28" s="31" customFormat="1" ht="52.5" customHeight="1" x14ac:dyDescent="0.35">
      <c r="A379" s="31">
        <v>2019</v>
      </c>
      <c r="B379" s="53">
        <f>IF(OR(E379=0,E379=""),"",COUNTA($E$307:E379))</f>
        <v>62</v>
      </c>
      <c r="C379" s="53" t="s">
        <v>163</v>
      </c>
      <c r="D379" s="58" t="s">
        <v>871</v>
      </c>
      <c r="E379" s="59">
        <v>1938</v>
      </c>
      <c r="F379" s="60">
        <v>699.4</v>
      </c>
      <c r="G379" s="60">
        <v>321.2</v>
      </c>
      <c r="H379" s="60">
        <v>0</v>
      </c>
      <c r="I379" s="60" t="s">
        <v>35</v>
      </c>
      <c r="J379" s="60"/>
      <c r="K379" s="60"/>
      <c r="L379" s="60"/>
      <c r="M379" s="60"/>
      <c r="N379" s="60"/>
      <c r="O379" s="60"/>
      <c r="P379" s="60">
        <f t="shared" si="317"/>
        <v>1342148.6000000001</v>
      </c>
      <c r="Q379" s="60"/>
      <c r="R379" s="60">
        <f t="shared" si="318"/>
        <v>1295988.2</v>
      </c>
      <c r="S379" s="60"/>
      <c r="T379" s="60"/>
      <c r="U379" s="60">
        <f t="shared" si="319"/>
        <v>83228.600000000006</v>
      </c>
      <c r="V379" s="60"/>
      <c r="W379" s="62">
        <f t="shared" si="320"/>
        <v>2721365.4</v>
      </c>
      <c r="X379" s="60" t="s">
        <v>18</v>
      </c>
      <c r="Y379" s="59">
        <v>0</v>
      </c>
      <c r="Z379" s="59">
        <v>0</v>
      </c>
      <c r="AA379" s="59">
        <v>0</v>
      </c>
      <c r="AB379" s="54">
        <f t="shared" si="321"/>
        <v>2721365.4</v>
      </c>
    </row>
    <row r="380" spans="1:28" s="31" customFormat="1" ht="52.5" customHeight="1" x14ac:dyDescent="0.35">
      <c r="A380" s="31">
        <v>2019</v>
      </c>
      <c r="B380" s="53">
        <f>IF(OR(E380=0,E380=""),"",COUNTA($E$307:E380))</f>
        <v>63</v>
      </c>
      <c r="C380" s="53" t="s">
        <v>164</v>
      </c>
      <c r="D380" s="58" t="s">
        <v>872</v>
      </c>
      <c r="E380" s="59">
        <v>1938</v>
      </c>
      <c r="F380" s="60">
        <v>696.38</v>
      </c>
      <c r="G380" s="60">
        <v>453.5</v>
      </c>
      <c r="H380" s="60">
        <v>0</v>
      </c>
      <c r="I380" s="60" t="s">
        <v>35</v>
      </c>
      <c r="J380" s="60"/>
      <c r="K380" s="60"/>
      <c r="L380" s="60"/>
      <c r="M380" s="60"/>
      <c r="N380" s="60"/>
      <c r="O380" s="60"/>
      <c r="P380" s="60">
        <f t="shared" si="317"/>
        <v>1336353.22</v>
      </c>
      <c r="Q380" s="60"/>
      <c r="R380" s="60">
        <f t="shared" si="318"/>
        <v>1290392.1399999999</v>
      </c>
      <c r="S380" s="60"/>
      <c r="T380" s="60"/>
      <c r="U380" s="60">
        <f t="shared" si="319"/>
        <v>82869.22</v>
      </c>
      <c r="V380" s="60"/>
      <c r="W380" s="62">
        <f t="shared" si="320"/>
        <v>2709614.58</v>
      </c>
      <c r="X380" s="60" t="s">
        <v>18</v>
      </c>
      <c r="Y380" s="59">
        <v>0</v>
      </c>
      <c r="Z380" s="59">
        <v>0</v>
      </c>
      <c r="AA380" s="59">
        <v>0</v>
      </c>
      <c r="AB380" s="54">
        <f t="shared" si="321"/>
        <v>2709614.58</v>
      </c>
    </row>
    <row r="381" spans="1:28" s="31" customFormat="1" ht="52.5" customHeight="1" x14ac:dyDescent="0.35">
      <c r="A381" s="31">
        <v>2019</v>
      </c>
      <c r="B381" s="53">
        <f>IF(OR(E381=0,E381=""),"",COUNTA($E$307:E381))</f>
        <v>64</v>
      </c>
      <c r="C381" s="53" t="s">
        <v>166</v>
      </c>
      <c r="D381" s="58" t="s">
        <v>873</v>
      </c>
      <c r="E381" s="59">
        <v>1952</v>
      </c>
      <c r="F381" s="60">
        <v>766.4</v>
      </c>
      <c r="G381" s="60">
        <v>355.9</v>
      </c>
      <c r="H381" s="60">
        <v>0</v>
      </c>
      <c r="I381" s="60" t="s">
        <v>35</v>
      </c>
      <c r="J381" s="60"/>
      <c r="K381" s="60"/>
      <c r="L381" s="60"/>
      <c r="M381" s="60"/>
      <c r="N381" s="60"/>
      <c r="O381" s="60"/>
      <c r="P381" s="60">
        <f t="shared" si="317"/>
        <v>1470721.6</v>
      </c>
      <c r="Q381" s="60"/>
      <c r="R381" s="60">
        <f t="shared" si="318"/>
        <v>1420139.2</v>
      </c>
      <c r="S381" s="60"/>
      <c r="T381" s="60"/>
      <c r="U381" s="60">
        <f t="shared" si="319"/>
        <v>91201.600000000006</v>
      </c>
      <c r="V381" s="60"/>
      <c r="W381" s="62">
        <f t="shared" si="320"/>
        <v>2982062.4</v>
      </c>
      <c r="X381" s="60" t="s">
        <v>18</v>
      </c>
      <c r="Y381" s="59">
        <v>0</v>
      </c>
      <c r="Z381" s="59">
        <v>0</v>
      </c>
      <c r="AA381" s="59">
        <v>0</v>
      </c>
      <c r="AB381" s="54">
        <f t="shared" si="321"/>
        <v>2982062.4</v>
      </c>
    </row>
    <row r="382" spans="1:28" s="31" customFormat="1" ht="52.5" customHeight="1" x14ac:dyDescent="0.35">
      <c r="A382" s="31">
        <v>2019</v>
      </c>
      <c r="B382" s="53">
        <f>IF(OR(E382=0,E382=""),"",COUNTA($E$307:E382))</f>
        <v>65</v>
      </c>
      <c r="C382" s="53" t="s">
        <v>167</v>
      </c>
      <c r="D382" s="58" t="s">
        <v>874</v>
      </c>
      <c r="E382" s="59">
        <v>1939</v>
      </c>
      <c r="F382" s="60">
        <v>821</v>
      </c>
      <c r="G382" s="60">
        <v>307.10000000000002</v>
      </c>
      <c r="H382" s="60">
        <v>0</v>
      </c>
      <c r="I382" s="60" t="s">
        <v>35</v>
      </c>
      <c r="J382" s="60"/>
      <c r="K382" s="60"/>
      <c r="L382" s="60"/>
      <c r="M382" s="60"/>
      <c r="N382" s="60"/>
      <c r="O382" s="60"/>
      <c r="P382" s="60">
        <f t="shared" si="317"/>
        <v>1575499</v>
      </c>
      <c r="Q382" s="60"/>
      <c r="R382" s="60">
        <f t="shared" si="318"/>
        <v>1521313</v>
      </c>
      <c r="S382" s="60"/>
      <c r="T382" s="60"/>
      <c r="U382" s="60">
        <f t="shared" si="319"/>
        <v>97699</v>
      </c>
      <c r="V382" s="60"/>
      <c r="W382" s="62">
        <f t="shared" si="320"/>
        <v>3194511</v>
      </c>
      <c r="X382" s="60" t="s">
        <v>18</v>
      </c>
      <c r="Y382" s="59">
        <v>0</v>
      </c>
      <c r="Z382" s="59">
        <v>0</v>
      </c>
      <c r="AA382" s="59">
        <v>0</v>
      </c>
      <c r="AB382" s="54">
        <f t="shared" si="321"/>
        <v>3194511</v>
      </c>
    </row>
    <row r="383" spans="1:28" s="31" customFormat="1" ht="52.5" customHeight="1" x14ac:dyDescent="0.35">
      <c r="A383" s="31">
        <v>2019</v>
      </c>
      <c r="B383" s="53">
        <f>IF(OR(E383=0,E383=""),"",COUNTA($E$307:E383))</f>
        <v>66</v>
      </c>
      <c r="C383" s="53" t="s">
        <v>171</v>
      </c>
      <c r="D383" s="58" t="s">
        <v>875</v>
      </c>
      <c r="E383" s="59">
        <v>1936</v>
      </c>
      <c r="F383" s="60">
        <v>713.34</v>
      </c>
      <c r="G383" s="60">
        <v>319.39999999999998</v>
      </c>
      <c r="H383" s="60">
        <v>0</v>
      </c>
      <c r="I383" s="60" t="s">
        <v>35</v>
      </c>
      <c r="J383" s="60"/>
      <c r="K383" s="60"/>
      <c r="L383" s="60"/>
      <c r="M383" s="60"/>
      <c r="N383" s="60"/>
      <c r="O383" s="60"/>
      <c r="P383" s="60">
        <f t="shared" si="317"/>
        <v>1368899.46</v>
      </c>
      <c r="Q383" s="60"/>
      <c r="R383" s="60">
        <f t="shared" si="318"/>
        <v>1321819.02</v>
      </c>
      <c r="S383" s="60"/>
      <c r="T383" s="60"/>
      <c r="U383" s="60">
        <f t="shared" si="319"/>
        <v>84887.46</v>
      </c>
      <c r="V383" s="60"/>
      <c r="W383" s="62">
        <f t="shared" si="320"/>
        <v>2775605.94</v>
      </c>
      <c r="X383" s="60" t="s">
        <v>18</v>
      </c>
      <c r="Y383" s="59">
        <v>0</v>
      </c>
      <c r="Z383" s="59">
        <v>0</v>
      </c>
      <c r="AA383" s="59">
        <v>0</v>
      </c>
      <c r="AB383" s="54">
        <f t="shared" si="321"/>
        <v>2775605.94</v>
      </c>
    </row>
    <row r="384" spans="1:28" s="31" customFormat="1" ht="52.5" customHeight="1" x14ac:dyDescent="0.35">
      <c r="B384" s="53">
        <f>IF(OR(E384=0,E384=""),"",COUNTA($E$307:E384))</f>
        <v>67</v>
      </c>
      <c r="C384" s="53" t="s">
        <v>180</v>
      </c>
      <c r="D384" s="58" t="s">
        <v>876</v>
      </c>
      <c r="E384" s="59">
        <v>1975</v>
      </c>
      <c r="F384" s="60">
        <v>1171.8</v>
      </c>
      <c r="G384" s="60">
        <v>1076.4000000000001</v>
      </c>
      <c r="H384" s="60">
        <v>0</v>
      </c>
      <c r="I384" s="60" t="s">
        <v>34</v>
      </c>
      <c r="J384" s="60"/>
      <c r="K384" s="60"/>
      <c r="L384" s="60"/>
      <c r="M384" s="60"/>
      <c r="N384" s="60"/>
      <c r="O384" s="60"/>
      <c r="P384" s="60">
        <f t="shared" si="317"/>
        <v>2248684.2000000002</v>
      </c>
      <c r="Q384" s="60"/>
      <c r="R384" s="60">
        <f t="shared" si="318"/>
        <v>2171345.4</v>
      </c>
      <c r="S384" s="60"/>
      <c r="T384" s="60"/>
      <c r="U384" s="60"/>
      <c r="V384" s="60"/>
      <c r="W384" s="62">
        <f t="shared" si="320"/>
        <v>4420029.5999999996</v>
      </c>
      <c r="X384" s="60" t="s">
        <v>18</v>
      </c>
      <c r="Y384" s="59">
        <v>0</v>
      </c>
      <c r="Z384" s="59">
        <v>0</v>
      </c>
      <c r="AA384" s="59">
        <v>0</v>
      </c>
      <c r="AB384" s="54">
        <f t="shared" si="321"/>
        <v>4420029.5999999996</v>
      </c>
    </row>
    <row r="385" spans="1:39" s="31" customFormat="1" ht="52.5" customHeight="1" x14ac:dyDescent="0.35">
      <c r="B385" s="53">
        <f>IF(OR(E385=0,E385=""),"",COUNTA($E$307:E385))</f>
        <v>68</v>
      </c>
      <c r="C385" s="53" t="s">
        <v>181</v>
      </c>
      <c r="D385" s="58" t="s">
        <v>877</v>
      </c>
      <c r="E385" s="59">
        <v>1975</v>
      </c>
      <c r="F385" s="60">
        <v>1182.5999999999999</v>
      </c>
      <c r="G385" s="60">
        <v>1087.2</v>
      </c>
      <c r="H385" s="60">
        <v>0</v>
      </c>
      <c r="I385" s="60" t="s">
        <v>34</v>
      </c>
      <c r="J385" s="60"/>
      <c r="K385" s="60"/>
      <c r="L385" s="60"/>
      <c r="M385" s="60"/>
      <c r="N385" s="60"/>
      <c r="O385" s="60"/>
      <c r="P385" s="60">
        <f t="shared" si="317"/>
        <v>2269409.4</v>
      </c>
      <c r="Q385" s="60"/>
      <c r="R385" s="60"/>
      <c r="S385" s="60"/>
      <c r="T385" s="60"/>
      <c r="U385" s="60">
        <f t="shared" si="319"/>
        <v>140729.4</v>
      </c>
      <c r="V385" s="60"/>
      <c r="W385" s="62">
        <f t="shared" si="320"/>
        <v>2410138.7999999998</v>
      </c>
      <c r="X385" s="60" t="s">
        <v>18</v>
      </c>
      <c r="Y385" s="59">
        <v>0</v>
      </c>
      <c r="Z385" s="59">
        <v>0</v>
      </c>
      <c r="AA385" s="59">
        <v>0</v>
      </c>
      <c r="AB385" s="54">
        <f t="shared" si="321"/>
        <v>2410138.7999999998</v>
      </c>
    </row>
    <row r="386" spans="1:39" s="31" customFormat="1" ht="52.5" customHeight="1" x14ac:dyDescent="0.35">
      <c r="B386" s="53">
        <f>IF(OR(E386=0,E386=""),"",COUNTA($E$307:E386))</f>
        <v>69</v>
      </c>
      <c r="C386" s="53" t="s">
        <v>182</v>
      </c>
      <c r="D386" s="58" t="s">
        <v>878</v>
      </c>
      <c r="E386" s="59">
        <v>1975</v>
      </c>
      <c r="F386" s="60">
        <v>1206.3</v>
      </c>
      <c r="G386" s="60">
        <v>1115.4000000000001</v>
      </c>
      <c r="H386" s="60">
        <v>0</v>
      </c>
      <c r="I386" s="60" t="s">
        <v>34</v>
      </c>
      <c r="J386" s="60"/>
      <c r="K386" s="60"/>
      <c r="L386" s="60"/>
      <c r="M386" s="60"/>
      <c r="N386" s="60"/>
      <c r="O386" s="60"/>
      <c r="P386" s="60">
        <f t="shared" si="317"/>
        <v>2314889.7000000002</v>
      </c>
      <c r="Q386" s="60"/>
      <c r="R386" s="60"/>
      <c r="S386" s="60"/>
      <c r="T386" s="60"/>
      <c r="U386" s="60">
        <f t="shared" si="319"/>
        <v>143549.70000000001</v>
      </c>
      <c r="V386" s="60"/>
      <c r="W386" s="62">
        <f t="shared" si="320"/>
        <v>2458439.4</v>
      </c>
      <c r="X386" s="60" t="s">
        <v>18</v>
      </c>
      <c r="Y386" s="59">
        <v>0</v>
      </c>
      <c r="Z386" s="59">
        <v>0</v>
      </c>
      <c r="AA386" s="59">
        <v>0</v>
      </c>
      <c r="AB386" s="54">
        <f t="shared" si="321"/>
        <v>2458439.4</v>
      </c>
    </row>
    <row r="387" spans="1:39" s="31" customFormat="1" ht="52.5" customHeight="1" x14ac:dyDescent="0.35">
      <c r="A387" s="31">
        <v>2019</v>
      </c>
      <c r="B387" s="53">
        <f>IF(OR(E387=0,E387=""),"",COUNTA($E$307:E387))</f>
        <v>70</v>
      </c>
      <c r="C387" s="53" t="s">
        <v>176</v>
      </c>
      <c r="D387" s="58" t="s">
        <v>879</v>
      </c>
      <c r="E387" s="59">
        <v>1961</v>
      </c>
      <c r="F387" s="60">
        <v>671.3</v>
      </c>
      <c r="G387" s="60">
        <v>622</v>
      </c>
      <c r="H387" s="60">
        <v>0</v>
      </c>
      <c r="I387" s="60" t="s">
        <v>35</v>
      </c>
      <c r="J387" s="60"/>
      <c r="K387" s="60"/>
      <c r="L387" s="60"/>
      <c r="M387" s="60"/>
      <c r="N387" s="60"/>
      <c r="O387" s="60"/>
      <c r="P387" s="60">
        <f t="shared" si="317"/>
        <v>1288224.7</v>
      </c>
      <c r="Q387" s="60"/>
      <c r="R387" s="60">
        <f>1853*F387</f>
        <v>1243918.8999999999</v>
      </c>
      <c r="S387" s="60"/>
      <c r="T387" s="60"/>
      <c r="U387" s="60"/>
      <c r="V387" s="60"/>
      <c r="W387" s="62">
        <f t="shared" si="320"/>
        <v>2532143.6</v>
      </c>
      <c r="X387" s="60" t="s">
        <v>18</v>
      </c>
      <c r="Y387" s="59">
        <v>0</v>
      </c>
      <c r="Z387" s="59">
        <v>0</v>
      </c>
      <c r="AA387" s="59">
        <v>0</v>
      </c>
      <c r="AB387" s="54">
        <f t="shared" si="321"/>
        <v>2532143.6</v>
      </c>
    </row>
    <row r="388" spans="1:39" s="31" customFormat="1" ht="52.5" customHeight="1" x14ac:dyDescent="0.35">
      <c r="A388" s="31">
        <v>2019</v>
      </c>
      <c r="B388" s="53" t="str">
        <f>IF(OR(E388=0,E388=""),"",COUNTA($E$307:E388))</f>
        <v/>
      </c>
      <c r="C388" s="53"/>
      <c r="D388" s="58"/>
      <c r="E388" s="59"/>
      <c r="F388" s="54">
        <f>SUM(F368:F387)</f>
        <v>15876.12</v>
      </c>
      <c r="G388" s="54">
        <f>SUM(G368:G387)</f>
        <v>10670.6</v>
      </c>
      <c r="H388" s="54">
        <f>SUM(H368:H387)</f>
        <v>143.6</v>
      </c>
      <c r="I388" s="54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56">
        <f>SUM(W368:W387)</f>
        <v>56964885.219999999</v>
      </c>
      <c r="X388" s="60"/>
      <c r="Y388" s="52">
        <v>0</v>
      </c>
      <c r="Z388" s="52">
        <v>0</v>
      </c>
      <c r="AA388" s="52">
        <v>0</v>
      </c>
      <c r="AB388" s="54">
        <f>SUM(AB368:AB387)</f>
        <v>56964885.219999999</v>
      </c>
    </row>
    <row r="389" spans="1:39" s="33" customFormat="1" ht="52.5" customHeight="1" x14ac:dyDescent="0.35">
      <c r="A389" s="31">
        <v>2019</v>
      </c>
      <c r="B389" s="53" t="str">
        <f>IF(OR(E389=0,E389=""),"",COUNTA($E$307:E389))</f>
        <v/>
      </c>
      <c r="C389" s="53"/>
      <c r="D389" s="57" t="s">
        <v>43</v>
      </c>
      <c r="E389" s="57"/>
      <c r="F389" s="54"/>
      <c r="G389" s="54"/>
      <c r="H389" s="54"/>
      <c r="I389" s="54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59"/>
      <c r="Z389" s="59"/>
      <c r="AA389" s="59"/>
      <c r="AB389" s="54"/>
    </row>
    <row r="390" spans="1:39" s="33" customFormat="1" ht="52.5" customHeight="1" x14ac:dyDescent="0.35">
      <c r="A390" s="31">
        <v>2019</v>
      </c>
      <c r="B390" s="53">
        <f>IF(OR(E390=0,E390=""),"",COUNTA($E$307:E390))</f>
        <v>71</v>
      </c>
      <c r="C390" s="53" t="s">
        <v>183</v>
      </c>
      <c r="D390" s="58" t="s">
        <v>880</v>
      </c>
      <c r="E390" s="59">
        <v>1964</v>
      </c>
      <c r="F390" s="60">
        <v>486.2</v>
      </c>
      <c r="G390" s="60">
        <v>365.9</v>
      </c>
      <c r="H390" s="60">
        <v>0</v>
      </c>
      <c r="I390" s="60" t="s">
        <v>35</v>
      </c>
      <c r="J390" s="60"/>
      <c r="K390" s="60"/>
      <c r="L390" s="60"/>
      <c r="M390" s="60"/>
      <c r="N390" s="60"/>
      <c r="O390" s="60"/>
      <c r="P390" s="60">
        <f t="shared" ref="P390" si="322">1919*F390</f>
        <v>933017.8</v>
      </c>
      <c r="Q390" s="60"/>
      <c r="R390" s="60">
        <f>1853*F390</f>
        <v>900928.6</v>
      </c>
      <c r="S390" s="60"/>
      <c r="T390" s="60"/>
      <c r="U390" s="60">
        <f>119*F390</f>
        <v>57857.8</v>
      </c>
      <c r="V390" s="60"/>
      <c r="W390" s="62">
        <f>V390+U390+T390+S390+R390+Q390+P390+O390+N390+M390+L390+K390+J390</f>
        <v>1891804.2</v>
      </c>
      <c r="X390" s="60" t="s">
        <v>18</v>
      </c>
      <c r="Y390" s="59">
        <v>0</v>
      </c>
      <c r="Z390" s="59">
        <v>0</v>
      </c>
      <c r="AA390" s="59">
        <v>0</v>
      </c>
      <c r="AB390" s="54">
        <f>W390-(Y390+Z390+AA390)</f>
        <v>1891804.2</v>
      </c>
    </row>
    <row r="391" spans="1:39" s="31" customFormat="1" ht="52.5" customHeight="1" x14ac:dyDescent="0.35">
      <c r="A391" s="31">
        <v>2019</v>
      </c>
      <c r="B391" s="53" t="str">
        <f>IF(OR(E391=0,E391=""),"",COUNTA($E$307:E391))</f>
        <v/>
      </c>
      <c r="C391" s="53"/>
      <c r="D391" s="58"/>
      <c r="E391" s="59"/>
      <c r="F391" s="54">
        <f>SUM(F390:F390)</f>
        <v>486.2</v>
      </c>
      <c r="G391" s="54">
        <f>SUM(G390:G390)</f>
        <v>365.9</v>
      </c>
      <c r="H391" s="54">
        <f>SUM(H390:H390)</f>
        <v>0</v>
      </c>
      <c r="I391" s="54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54">
        <f>SUM(W390:W390)</f>
        <v>1891804.2</v>
      </c>
      <c r="X391" s="60"/>
      <c r="Y391" s="52">
        <v>0</v>
      </c>
      <c r="Z391" s="52">
        <v>0</v>
      </c>
      <c r="AA391" s="52">
        <v>0</v>
      </c>
      <c r="AB391" s="54">
        <f>W391-(Y391+Z391+AA391)</f>
        <v>1891804.2</v>
      </c>
    </row>
    <row r="392" spans="1:39" s="31" customFormat="1" ht="52.5" customHeight="1" x14ac:dyDescent="0.35">
      <c r="A392" s="31">
        <v>2019</v>
      </c>
      <c r="B392" s="53" t="str">
        <f>IF(OR(E392=0,E392=""),"",COUNTA($E$307:E392))</f>
        <v/>
      </c>
      <c r="C392" s="53"/>
      <c r="D392" s="57" t="s">
        <v>91</v>
      </c>
      <c r="E392" s="57"/>
      <c r="F392" s="54"/>
      <c r="G392" s="54"/>
      <c r="H392" s="54"/>
      <c r="I392" s="54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59"/>
      <c r="Z392" s="59"/>
      <c r="AA392" s="59"/>
      <c r="AB392" s="54"/>
    </row>
    <row r="393" spans="1:39" s="41" customFormat="1" ht="52.5" customHeight="1" x14ac:dyDescent="0.25">
      <c r="A393" s="32">
        <v>1106</v>
      </c>
      <c r="B393" s="53">
        <f>IF(OR(E393=0,E393=""),"",COUNTA($E$307:E393))</f>
        <v>72</v>
      </c>
      <c r="C393" s="53" t="s">
        <v>186</v>
      </c>
      <c r="D393" s="86" t="s">
        <v>881</v>
      </c>
      <c r="E393" s="59">
        <v>1988</v>
      </c>
      <c r="F393" s="60">
        <v>2579.1999999999998</v>
      </c>
      <c r="G393" s="60">
        <v>1789.2</v>
      </c>
      <c r="H393" s="60">
        <v>0</v>
      </c>
      <c r="I393" s="59" t="s">
        <v>34</v>
      </c>
      <c r="J393" s="60"/>
      <c r="K393" s="60"/>
      <c r="L393" s="60"/>
      <c r="M393" s="60"/>
      <c r="N393" s="60"/>
      <c r="O393" s="60"/>
      <c r="P393" s="60">
        <f t="shared" ref="P393" si="323">1919*F393</f>
        <v>4949484.8</v>
      </c>
      <c r="Q393" s="60"/>
      <c r="R393" s="60"/>
      <c r="S393" s="60"/>
      <c r="T393" s="60"/>
      <c r="U393" s="66">
        <f>77*F393</f>
        <v>198598.39999999999</v>
      </c>
      <c r="V393" s="70"/>
      <c r="W393" s="71">
        <f>SUBTOTAL(9,J393:V393)</f>
        <v>5148083.2</v>
      </c>
      <c r="X393" s="60" t="s">
        <v>18</v>
      </c>
      <c r="Y393" s="71">
        <v>0</v>
      </c>
      <c r="Z393" s="71">
        <v>0</v>
      </c>
      <c r="AA393" s="71">
        <v>0</v>
      </c>
      <c r="AB393" s="71">
        <f>SUBTOTAL(9,J393:V393)</f>
        <v>5148083.2</v>
      </c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</row>
    <row r="394" spans="1:39" s="31" customFormat="1" ht="52.5" customHeight="1" x14ac:dyDescent="0.35">
      <c r="A394" s="31">
        <v>2019</v>
      </c>
      <c r="B394" s="53" t="str">
        <f>IF(OR(E394=0,E394=""),"",COUNTA($E$307:E394))</f>
        <v/>
      </c>
      <c r="C394" s="53"/>
      <c r="D394" s="58"/>
      <c r="E394" s="59"/>
      <c r="F394" s="54">
        <f>SUM(F393:F393)</f>
        <v>2579.1999999999998</v>
      </c>
      <c r="G394" s="54">
        <f>SUM(G393:G393)</f>
        <v>1789.2</v>
      </c>
      <c r="H394" s="54">
        <f>SUM(H393:H393)</f>
        <v>0</v>
      </c>
      <c r="I394" s="54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56">
        <f>SUM(W393:W393)</f>
        <v>5148083.2</v>
      </c>
      <c r="X394" s="60"/>
      <c r="Y394" s="52">
        <v>0</v>
      </c>
      <c r="Z394" s="52">
        <v>0</v>
      </c>
      <c r="AA394" s="52">
        <v>0</v>
      </c>
      <c r="AB394" s="54">
        <f>SUM(AB393:AB393)</f>
        <v>5148083.2</v>
      </c>
    </row>
    <row r="395" spans="1:39" s="31" customFormat="1" ht="52.5" customHeight="1" x14ac:dyDescent="0.35">
      <c r="A395" s="31">
        <v>2019</v>
      </c>
      <c r="B395" s="53" t="str">
        <f>IF(OR(E395=0,E395=""),"",COUNTA($E$307:E395))</f>
        <v/>
      </c>
      <c r="C395" s="53"/>
      <c r="D395" s="57" t="s">
        <v>1064</v>
      </c>
      <c r="E395" s="57"/>
      <c r="F395" s="54"/>
      <c r="G395" s="54"/>
      <c r="H395" s="54"/>
      <c r="I395" s="54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59"/>
      <c r="Z395" s="59"/>
      <c r="AA395" s="59"/>
      <c r="AB395" s="54"/>
    </row>
    <row r="396" spans="1:39" s="31" customFormat="1" ht="52.5" customHeight="1" x14ac:dyDescent="0.35">
      <c r="B396" s="53">
        <f>IF(OR(E396=0,E396=""),"",COUNTA($E$307:E396))</f>
        <v>73</v>
      </c>
      <c r="C396" s="53" t="s">
        <v>245</v>
      </c>
      <c r="D396" s="58" t="s">
        <v>675</v>
      </c>
      <c r="E396" s="59">
        <v>1962</v>
      </c>
      <c r="F396" s="60">
        <v>1998.2</v>
      </c>
      <c r="G396" s="60">
        <v>1475.8</v>
      </c>
      <c r="H396" s="60">
        <v>126.4</v>
      </c>
      <c r="I396" s="60" t="s">
        <v>33</v>
      </c>
      <c r="J396" s="60"/>
      <c r="K396" s="60"/>
      <c r="L396" s="60"/>
      <c r="M396" s="60"/>
      <c r="N396" s="60"/>
      <c r="O396" s="60"/>
      <c r="P396" s="60"/>
      <c r="Q396" s="60"/>
      <c r="R396" s="60">
        <f>F396*1917</f>
        <v>3830549.4</v>
      </c>
      <c r="S396" s="60"/>
      <c r="T396" s="60"/>
      <c r="U396" s="60"/>
      <c r="V396" s="60"/>
      <c r="W396" s="62">
        <f t="shared" ref="W396:W420" si="324">V396+U396+T396+S396+R396+Q396+P396+O396+N396+M396+L396+K396+J396</f>
        <v>3830549.4</v>
      </c>
      <c r="X396" s="60" t="s">
        <v>18</v>
      </c>
      <c r="Y396" s="59">
        <v>0</v>
      </c>
      <c r="Z396" s="59">
        <v>0</v>
      </c>
      <c r="AA396" s="59">
        <v>0</v>
      </c>
      <c r="AB396" s="54">
        <f t="shared" ref="AB396:AB420" si="325">W396-(Y396+Z396+AA396)</f>
        <v>3830549.4</v>
      </c>
    </row>
    <row r="397" spans="1:39" s="38" customFormat="1" ht="52.5" customHeight="1" x14ac:dyDescent="0.35">
      <c r="A397" s="31"/>
      <c r="B397" s="53">
        <f>IF(OR(E397=0,E397=""),"",COUNTA($E$307:E397))</f>
        <v>74</v>
      </c>
      <c r="C397" s="53" t="s">
        <v>232</v>
      </c>
      <c r="D397" s="58" t="s">
        <v>882</v>
      </c>
      <c r="E397" s="59">
        <v>1963</v>
      </c>
      <c r="F397" s="60">
        <v>690.4</v>
      </c>
      <c r="G397" s="60">
        <v>641.79999999999995</v>
      </c>
      <c r="H397" s="60">
        <v>0</v>
      </c>
      <c r="I397" s="60" t="s">
        <v>35</v>
      </c>
      <c r="J397" s="60">
        <v>266494.40000000002</v>
      </c>
      <c r="K397" s="60">
        <v>398360.8</v>
      </c>
      <c r="L397" s="60"/>
      <c r="M397" s="60">
        <v>133247.20000000001</v>
      </c>
      <c r="N397" s="60">
        <v>85609.600000000006</v>
      </c>
      <c r="O397" s="60"/>
      <c r="P397" s="60"/>
      <c r="Q397" s="60"/>
      <c r="R397" s="60"/>
      <c r="S397" s="60"/>
      <c r="T397" s="60"/>
      <c r="U397" s="60"/>
      <c r="V397" s="60"/>
      <c r="W397" s="62">
        <f t="shared" si="324"/>
        <v>883712</v>
      </c>
      <c r="X397" s="60" t="s">
        <v>18</v>
      </c>
      <c r="Y397" s="59">
        <v>0</v>
      </c>
      <c r="Z397" s="59">
        <v>0</v>
      </c>
      <c r="AA397" s="59">
        <v>0</v>
      </c>
      <c r="AB397" s="54">
        <f t="shared" si="325"/>
        <v>883712</v>
      </c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</row>
    <row r="398" spans="1:39" s="31" customFormat="1" ht="52.5" customHeight="1" x14ac:dyDescent="0.35">
      <c r="B398" s="53">
        <f>IF(OR(E398=0,E398=""),"",COUNTA($E$307:E398))</f>
        <v>75</v>
      </c>
      <c r="C398" s="53" t="s">
        <v>268</v>
      </c>
      <c r="D398" s="58" t="s">
        <v>883</v>
      </c>
      <c r="E398" s="59">
        <v>1927</v>
      </c>
      <c r="F398" s="60">
        <v>359.8</v>
      </c>
      <c r="G398" s="60">
        <v>308.89999999999998</v>
      </c>
      <c r="H398" s="60">
        <v>0</v>
      </c>
      <c r="I398" s="60" t="s">
        <v>35</v>
      </c>
      <c r="J398" s="60"/>
      <c r="K398" s="60"/>
      <c r="L398" s="60"/>
      <c r="M398" s="60"/>
      <c r="N398" s="60"/>
      <c r="O398" s="60"/>
      <c r="P398" s="60">
        <f t="shared" ref="P398:P399" si="326">1919*F398</f>
        <v>690456.2</v>
      </c>
      <c r="Q398" s="60"/>
      <c r="R398" s="60">
        <f>1853*F398</f>
        <v>666709.4</v>
      </c>
      <c r="S398" s="60">
        <f>F398*114</f>
        <v>41017.199999999997</v>
      </c>
      <c r="T398" s="60"/>
      <c r="U398" s="60">
        <f>F398*238</f>
        <v>85632.4</v>
      </c>
      <c r="V398" s="60"/>
      <c r="W398" s="62">
        <f t="shared" si="324"/>
        <v>1483815.2</v>
      </c>
      <c r="X398" s="60" t="s">
        <v>18</v>
      </c>
      <c r="Y398" s="59">
        <v>0</v>
      </c>
      <c r="Z398" s="59">
        <v>0</v>
      </c>
      <c r="AA398" s="59">
        <v>0</v>
      </c>
      <c r="AB398" s="54">
        <f t="shared" si="325"/>
        <v>1483815.2</v>
      </c>
    </row>
    <row r="399" spans="1:39" s="31" customFormat="1" ht="52.5" customHeight="1" x14ac:dyDescent="0.35">
      <c r="B399" s="53">
        <f>IF(OR(E399=0,E399=""),"",COUNTA($E$307:E399))</f>
        <v>76</v>
      </c>
      <c r="C399" s="53" t="s">
        <v>269</v>
      </c>
      <c r="D399" s="58" t="s">
        <v>884</v>
      </c>
      <c r="E399" s="59">
        <v>1928</v>
      </c>
      <c r="F399" s="60">
        <v>459</v>
      </c>
      <c r="G399" s="60">
        <v>322.39999999999998</v>
      </c>
      <c r="H399" s="60">
        <v>0</v>
      </c>
      <c r="I399" s="60" t="s">
        <v>35</v>
      </c>
      <c r="J399" s="60"/>
      <c r="K399" s="60"/>
      <c r="L399" s="60"/>
      <c r="M399" s="60"/>
      <c r="N399" s="60"/>
      <c r="O399" s="60"/>
      <c r="P399" s="60">
        <f t="shared" si="326"/>
        <v>880821</v>
      </c>
      <c r="Q399" s="60"/>
      <c r="R399" s="60">
        <f>1853*F399</f>
        <v>850527</v>
      </c>
      <c r="S399" s="60">
        <f>F399*114</f>
        <v>52326</v>
      </c>
      <c r="T399" s="60"/>
      <c r="U399" s="60">
        <f>F399*238</f>
        <v>109242</v>
      </c>
      <c r="V399" s="60"/>
      <c r="W399" s="62">
        <f t="shared" si="324"/>
        <v>1892916</v>
      </c>
      <c r="X399" s="60" t="s">
        <v>18</v>
      </c>
      <c r="Y399" s="59">
        <v>0</v>
      </c>
      <c r="Z399" s="59">
        <v>0</v>
      </c>
      <c r="AA399" s="59">
        <v>0</v>
      </c>
      <c r="AB399" s="54">
        <f t="shared" si="325"/>
        <v>1892916</v>
      </c>
    </row>
    <row r="400" spans="1:39" s="31" customFormat="1" ht="52.5" customHeight="1" x14ac:dyDescent="0.35">
      <c r="B400" s="53">
        <f>IF(OR(E400=0,E400=""),"",COUNTA($E$307:E400))</f>
        <v>77</v>
      </c>
      <c r="C400" s="53" t="s">
        <v>279</v>
      </c>
      <c r="D400" s="58" t="s">
        <v>885</v>
      </c>
      <c r="E400" s="59">
        <v>1917</v>
      </c>
      <c r="F400" s="60">
        <v>604.14</v>
      </c>
      <c r="G400" s="60">
        <v>495.21</v>
      </c>
      <c r="H400" s="60">
        <v>0</v>
      </c>
      <c r="I400" s="60" t="s">
        <v>39</v>
      </c>
      <c r="J400" s="60">
        <f>F400*538</f>
        <v>325027.32</v>
      </c>
      <c r="K400" s="60"/>
      <c r="L400" s="60"/>
      <c r="M400" s="60">
        <f>F400*425</f>
        <v>256759.5</v>
      </c>
      <c r="N400" s="60"/>
      <c r="O400" s="60"/>
      <c r="P400" s="60">
        <f>F400*2723</f>
        <v>1645073.22</v>
      </c>
      <c r="Q400" s="60"/>
      <c r="R400" s="60">
        <f>1991*F400</f>
        <v>1202842.74</v>
      </c>
      <c r="S400" s="60">
        <f>259*F400</f>
        <v>156472.26</v>
      </c>
      <c r="T400" s="60"/>
      <c r="U400" s="60">
        <f>967*F400</f>
        <v>584203.38</v>
      </c>
      <c r="V400" s="60"/>
      <c r="W400" s="62">
        <f t="shared" si="324"/>
        <v>4170378.42</v>
      </c>
      <c r="X400" s="60" t="s">
        <v>18</v>
      </c>
      <c r="Y400" s="59">
        <v>0</v>
      </c>
      <c r="Z400" s="59">
        <v>0</v>
      </c>
      <c r="AA400" s="59">
        <v>0</v>
      </c>
      <c r="AB400" s="54">
        <f t="shared" si="325"/>
        <v>4170378.42</v>
      </c>
    </row>
    <row r="401" spans="1:39" s="31" customFormat="1" ht="52.5" customHeight="1" x14ac:dyDescent="0.35">
      <c r="B401" s="53">
        <f>IF(OR(E401=0,E401=""),"",COUNTA($E$307:E401))</f>
        <v>78</v>
      </c>
      <c r="C401" s="53" t="s">
        <v>378</v>
      </c>
      <c r="D401" s="58" t="s">
        <v>886</v>
      </c>
      <c r="E401" s="59">
        <v>1966</v>
      </c>
      <c r="F401" s="60">
        <v>3928.9</v>
      </c>
      <c r="G401" s="60">
        <v>2841.3</v>
      </c>
      <c r="H401" s="60">
        <v>322.10000000000002</v>
      </c>
      <c r="I401" s="60" t="s">
        <v>33</v>
      </c>
      <c r="J401" s="60"/>
      <c r="K401" s="60"/>
      <c r="L401" s="60"/>
      <c r="M401" s="60"/>
      <c r="N401" s="60"/>
      <c r="O401" s="60"/>
      <c r="P401" s="60">
        <f>F401*1972</f>
        <v>7747790.7999999998</v>
      </c>
      <c r="Q401" s="60"/>
      <c r="R401" s="60"/>
      <c r="S401" s="60"/>
      <c r="T401" s="60"/>
      <c r="U401" s="60"/>
      <c r="V401" s="60"/>
      <c r="W401" s="62">
        <f t="shared" si="324"/>
        <v>7747790.7999999998</v>
      </c>
      <c r="X401" s="60" t="s">
        <v>18</v>
      </c>
      <c r="Y401" s="59">
        <v>0</v>
      </c>
      <c r="Z401" s="59">
        <v>0</v>
      </c>
      <c r="AA401" s="59">
        <v>0</v>
      </c>
      <c r="AB401" s="54">
        <f t="shared" si="325"/>
        <v>7747790.7999999998</v>
      </c>
    </row>
    <row r="402" spans="1:39" s="31" customFormat="1" ht="52.5" customHeight="1" x14ac:dyDescent="0.35">
      <c r="B402" s="53">
        <f>IF(OR(E402=0,E402=""),"",COUNTA($E$307:E402))</f>
        <v>79</v>
      </c>
      <c r="C402" s="53" t="s">
        <v>357</v>
      </c>
      <c r="D402" s="58" t="s">
        <v>887</v>
      </c>
      <c r="E402" s="59">
        <v>1981</v>
      </c>
      <c r="F402" s="60">
        <v>3888.88</v>
      </c>
      <c r="G402" s="60">
        <v>2808.9</v>
      </c>
      <c r="H402" s="60">
        <v>0</v>
      </c>
      <c r="I402" s="60" t="s">
        <v>33</v>
      </c>
      <c r="J402" s="60"/>
      <c r="K402" s="60"/>
      <c r="L402" s="60"/>
      <c r="M402" s="60"/>
      <c r="N402" s="60"/>
      <c r="O402" s="60"/>
      <c r="P402" s="60">
        <f>F402*1972</f>
        <v>7668871.3600000003</v>
      </c>
      <c r="Q402" s="60"/>
      <c r="R402" s="60"/>
      <c r="S402" s="60"/>
      <c r="T402" s="60"/>
      <c r="U402" s="60"/>
      <c r="V402" s="60"/>
      <c r="W402" s="62">
        <f t="shared" si="324"/>
        <v>7668871.3600000003</v>
      </c>
      <c r="X402" s="60" t="s">
        <v>18</v>
      </c>
      <c r="Y402" s="59">
        <v>0</v>
      </c>
      <c r="Z402" s="59">
        <v>0</v>
      </c>
      <c r="AA402" s="59">
        <v>0</v>
      </c>
      <c r="AB402" s="54">
        <f t="shared" si="325"/>
        <v>7668871.3600000003</v>
      </c>
    </row>
    <row r="403" spans="1:39" s="31" customFormat="1" ht="52.5" customHeight="1" x14ac:dyDescent="0.35">
      <c r="B403" s="53">
        <f>IF(OR(E403=0,E403=""),"",COUNTA($E$307:E403))</f>
        <v>80</v>
      </c>
      <c r="C403" s="53" t="s">
        <v>298</v>
      </c>
      <c r="D403" s="58" t="s">
        <v>888</v>
      </c>
      <c r="E403" s="59">
        <v>1960</v>
      </c>
      <c r="F403" s="60">
        <v>1720.51</v>
      </c>
      <c r="G403" s="60">
        <v>1255.9100000000001</v>
      </c>
      <c r="H403" s="60">
        <v>0</v>
      </c>
      <c r="I403" s="60" t="s">
        <v>36</v>
      </c>
      <c r="J403" s="60">
        <f>F403*228</f>
        <v>392276.28</v>
      </c>
      <c r="K403" s="60">
        <f>F403*434</f>
        <v>746701.34</v>
      </c>
      <c r="L403" s="60"/>
      <c r="M403" s="60">
        <f>F403*268</f>
        <v>461096.68</v>
      </c>
      <c r="N403" s="60">
        <f>F403*215</f>
        <v>369909.65</v>
      </c>
      <c r="O403" s="60"/>
      <c r="P403" s="60">
        <f>F403*1972</f>
        <v>3392845.72</v>
      </c>
      <c r="Q403" s="60">
        <f>F403*113</f>
        <v>194417.63</v>
      </c>
      <c r="R403" s="60">
        <f>F403*1917</f>
        <v>3298217.67</v>
      </c>
      <c r="S403" s="60">
        <f>F403*90</f>
        <v>154845.9</v>
      </c>
      <c r="T403" s="60"/>
      <c r="U403" s="60">
        <f>243*F403</f>
        <v>418083.93</v>
      </c>
      <c r="V403" s="60"/>
      <c r="W403" s="62">
        <f t="shared" si="324"/>
        <v>9428394.8000000007</v>
      </c>
      <c r="X403" s="60" t="s">
        <v>18</v>
      </c>
      <c r="Y403" s="59">
        <v>0</v>
      </c>
      <c r="Z403" s="59">
        <v>0</v>
      </c>
      <c r="AA403" s="59">
        <v>0</v>
      </c>
      <c r="AB403" s="54">
        <f t="shared" si="325"/>
        <v>9428394.8000000007</v>
      </c>
    </row>
    <row r="404" spans="1:39" s="31" customFormat="1" ht="52.5" customHeight="1" x14ac:dyDescent="0.35">
      <c r="B404" s="53">
        <f>IF(OR(E404=0,E404=""),"",COUNTA($E$307:E404))</f>
        <v>81</v>
      </c>
      <c r="C404" s="53" t="s">
        <v>297</v>
      </c>
      <c r="D404" s="58" t="s">
        <v>889</v>
      </c>
      <c r="E404" s="59">
        <v>1960</v>
      </c>
      <c r="F404" s="60">
        <v>1378.29</v>
      </c>
      <c r="G404" s="60">
        <v>1278.8900000000001</v>
      </c>
      <c r="H404" s="60">
        <v>0</v>
      </c>
      <c r="I404" s="60" t="s">
        <v>36</v>
      </c>
      <c r="J404" s="60">
        <f>F404*228</f>
        <v>314250.12</v>
      </c>
      <c r="K404" s="60">
        <f>F404*434</f>
        <v>598177.86</v>
      </c>
      <c r="L404" s="60"/>
      <c r="M404" s="60">
        <f>F404*268</f>
        <v>369381.72</v>
      </c>
      <c r="N404" s="60">
        <f>F404*215</f>
        <v>296332.34999999998</v>
      </c>
      <c r="O404" s="60"/>
      <c r="P404" s="60">
        <f>F404*1972</f>
        <v>2717987.88</v>
      </c>
      <c r="Q404" s="60">
        <f>F404*113</f>
        <v>155746.76999999999</v>
      </c>
      <c r="R404" s="60">
        <f>F404*1917</f>
        <v>2642181.9300000002</v>
      </c>
      <c r="S404" s="60">
        <f>F404*90</f>
        <v>124046.1</v>
      </c>
      <c r="T404" s="60"/>
      <c r="U404" s="60">
        <f>243*F404</f>
        <v>334924.46999999997</v>
      </c>
      <c r="V404" s="60"/>
      <c r="W404" s="62">
        <f t="shared" si="324"/>
        <v>7553029.2000000002</v>
      </c>
      <c r="X404" s="60" t="s">
        <v>18</v>
      </c>
      <c r="Y404" s="59">
        <v>0</v>
      </c>
      <c r="Z404" s="59">
        <v>0</v>
      </c>
      <c r="AA404" s="59">
        <v>0</v>
      </c>
      <c r="AB404" s="54">
        <f t="shared" si="325"/>
        <v>7553029.2000000002</v>
      </c>
    </row>
    <row r="405" spans="1:39" s="31" customFormat="1" ht="52.5" customHeight="1" x14ac:dyDescent="0.35">
      <c r="A405" s="31">
        <v>2019</v>
      </c>
      <c r="B405" s="53">
        <f>IF(OR(E405=0,E405=""),"",COUNTA($E$307:E405))</f>
        <v>82</v>
      </c>
      <c r="C405" s="53" t="s">
        <v>422</v>
      </c>
      <c r="D405" s="58" t="s">
        <v>890</v>
      </c>
      <c r="E405" s="59">
        <v>1956</v>
      </c>
      <c r="F405" s="60">
        <v>703.1</v>
      </c>
      <c r="G405" s="60">
        <v>484.1</v>
      </c>
      <c r="H405" s="60">
        <v>0</v>
      </c>
      <c r="I405" s="60" t="s">
        <v>35</v>
      </c>
      <c r="J405" s="60"/>
      <c r="K405" s="60"/>
      <c r="L405" s="60"/>
      <c r="M405" s="60"/>
      <c r="N405" s="60"/>
      <c r="O405" s="60"/>
      <c r="P405" s="60">
        <f>1919*F405</f>
        <v>1349248.9</v>
      </c>
      <c r="Q405" s="60"/>
      <c r="R405" s="60">
        <f>1853*F405</f>
        <v>1302844.3</v>
      </c>
      <c r="S405" s="60"/>
      <c r="T405" s="60"/>
      <c r="U405" s="60">
        <f>119*F405</f>
        <v>83668.899999999994</v>
      </c>
      <c r="V405" s="60"/>
      <c r="W405" s="62">
        <f t="shared" si="324"/>
        <v>2735762.1</v>
      </c>
      <c r="X405" s="60" t="s">
        <v>18</v>
      </c>
      <c r="Y405" s="59">
        <v>0</v>
      </c>
      <c r="Z405" s="59">
        <v>0</v>
      </c>
      <c r="AA405" s="59">
        <v>0</v>
      </c>
      <c r="AB405" s="54">
        <f t="shared" si="325"/>
        <v>2735762.1</v>
      </c>
    </row>
    <row r="406" spans="1:39" s="31" customFormat="1" ht="52.5" customHeight="1" x14ac:dyDescent="0.35">
      <c r="A406" s="31">
        <v>2019</v>
      </c>
      <c r="B406" s="53">
        <f>IF(OR(E406=0,E406=""),"",COUNTA($E$307:E406))</f>
        <v>83</v>
      </c>
      <c r="C406" s="53" t="s">
        <v>253</v>
      </c>
      <c r="D406" s="58" t="s">
        <v>891</v>
      </c>
      <c r="E406" s="59">
        <v>1953</v>
      </c>
      <c r="F406" s="60">
        <v>3226.7</v>
      </c>
      <c r="G406" s="60">
        <v>2629.2</v>
      </c>
      <c r="H406" s="60">
        <v>597.5</v>
      </c>
      <c r="I406" s="60" t="s">
        <v>28</v>
      </c>
      <c r="J406" s="60"/>
      <c r="K406" s="60"/>
      <c r="L406" s="60"/>
      <c r="M406" s="60"/>
      <c r="N406" s="60"/>
      <c r="O406" s="60"/>
      <c r="P406" s="60">
        <f>2723*F406</f>
        <v>8786304.0999999996</v>
      </c>
      <c r="Q406" s="60"/>
      <c r="R406" s="60"/>
      <c r="S406" s="60"/>
      <c r="T406" s="60"/>
      <c r="U406" s="60">
        <f>316*F406</f>
        <v>1019637.2</v>
      </c>
      <c r="V406" s="60"/>
      <c r="W406" s="62">
        <f t="shared" si="324"/>
        <v>9805941.3000000007</v>
      </c>
      <c r="X406" s="60" t="s">
        <v>18</v>
      </c>
      <c r="Y406" s="59">
        <v>0</v>
      </c>
      <c r="Z406" s="59">
        <v>0</v>
      </c>
      <c r="AA406" s="59">
        <v>0</v>
      </c>
      <c r="AB406" s="54">
        <f t="shared" si="325"/>
        <v>9805941.3000000007</v>
      </c>
    </row>
    <row r="407" spans="1:39" s="31" customFormat="1" ht="52.5" customHeight="1" x14ac:dyDescent="0.35">
      <c r="A407" s="31">
        <v>2019</v>
      </c>
      <c r="B407" s="53">
        <f>IF(OR(E407=0,E407=""),"",COUNTA($E$307:E407))</f>
        <v>84</v>
      </c>
      <c r="C407" s="53" t="s">
        <v>272</v>
      </c>
      <c r="D407" s="58" t="s">
        <v>892</v>
      </c>
      <c r="E407" s="59">
        <v>1953</v>
      </c>
      <c r="F407" s="60">
        <v>1321.7</v>
      </c>
      <c r="G407" s="60">
        <v>773.2</v>
      </c>
      <c r="H407" s="60">
        <v>369.6</v>
      </c>
      <c r="I407" s="60" t="s">
        <v>34</v>
      </c>
      <c r="J407" s="60"/>
      <c r="K407" s="60"/>
      <c r="L407" s="60"/>
      <c r="M407" s="60"/>
      <c r="N407" s="60"/>
      <c r="O407" s="60"/>
      <c r="P407" s="60">
        <f>1919*F407</f>
        <v>2536342.2999999998</v>
      </c>
      <c r="Q407" s="60"/>
      <c r="R407" s="60">
        <f>1853*F407</f>
        <v>2449110.1</v>
      </c>
      <c r="S407" s="60"/>
      <c r="T407" s="60"/>
      <c r="U407" s="60">
        <f>119*F407</f>
        <v>157282.29999999999</v>
      </c>
      <c r="V407" s="60"/>
      <c r="W407" s="62">
        <f t="shared" si="324"/>
        <v>5142734.7</v>
      </c>
      <c r="X407" s="60" t="s">
        <v>18</v>
      </c>
      <c r="Y407" s="59">
        <v>0</v>
      </c>
      <c r="Z407" s="59">
        <v>0</v>
      </c>
      <c r="AA407" s="59">
        <v>0</v>
      </c>
      <c r="AB407" s="54">
        <f t="shared" si="325"/>
        <v>5142734.7</v>
      </c>
    </row>
    <row r="408" spans="1:39" s="31" customFormat="1" ht="52.5" customHeight="1" x14ac:dyDescent="0.35">
      <c r="A408" s="31">
        <v>2019</v>
      </c>
      <c r="B408" s="53">
        <f>IF(OR(E408=0,E408=""),"",COUNTA($E$307:E408))</f>
        <v>85</v>
      </c>
      <c r="C408" s="53" t="s">
        <v>432</v>
      </c>
      <c r="D408" s="58" t="s">
        <v>893</v>
      </c>
      <c r="E408" s="59">
        <v>1951</v>
      </c>
      <c r="F408" s="60">
        <v>1481.9</v>
      </c>
      <c r="G408" s="60">
        <v>727</v>
      </c>
      <c r="H408" s="60">
        <v>578.6</v>
      </c>
      <c r="I408" s="60" t="s">
        <v>35</v>
      </c>
      <c r="J408" s="60"/>
      <c r="K408" s="60"/>
      <c r="L408" s="60"/>
      <c r="M408" s="60"/>
      <c r="N408" s="60"/>
      <c r="O408" s="60"/>
      <c r="P408" s="60">
        <f>1919*F408</f>
        <v>2843766.1</v>
      </c>
      <c r="Q408" s="60"/>
      <c r="R408" s="60">
        <f>1853*F408</f>
        <v>2745960.7</v>
      </c>
      <c r="S408" s="60"/>
      <c r="T408" s="60"/>
      <c r="U408" s="60">
        <f>119*F408</f>
        <v>176346.1</v>
      </c>
      <c r="V408" s="60"/>
      <c r="W408" s="62">
        <f t="shared" si="324"/>
        <v>5766072.9000000004</v>
      </c>
      <c r="X408" s="60" t="s">
        <v>18</v>
      </c>
      <c r="Y408" s="59">
        <v>0</v>
      </c>
      <c r="Z408" s="59">
        <v>0</v>
      </c>
      <c r="AA408" s="59">
        <v>0</v>
      </c>
      <c r="AB408" s="54">
        <f t="shared" si="325"/>
        <v>5766072.9000000004</v>
      </c>
    </row>
    <row r="409" spans="1:39" s="38" customFormat="1" ht="52.5" customHeight="1" x14ac:dyDescent="0.35">
      <c r="A409" s="31">
        <v>2019</v>
      </c>
      <c r="B409" s="53">
        <f>IF(OR(E409=0,E409=""),"",COUNTA($E$307:E409))</f>
        <v>86</v>
      </c>
      <c r="C409" s="53" t="s">
        <v>216</v>
      </c>
      <c r="D409" s="58" t="s">
        <v>577</v>
      </c>
      <c r="E409" s="59">
        <v>1989</v>
      </c>
      <c r="F409" s="60">
        <v>6613.81</v>
      </c>
      <c r="G409" s="60">
        <v>5614.11</v>
      </c>
      <c r="H409" s="60">
        <v>0</v>
      </c>
      <c r="I409" s="60" t="s">
        <v>31</v>
      </c>
      <c r="J409" s="60"/>
      <c r="K409" s="60"/>
      <c r="L409" s="60"/>
      <c r="M409" s="60"/>
      <c r="N409" s="60"/>
      <c r="O409" s="60">
        <f>2150000*3</f>
        <v>6450000</v>
      </c>
      <c r="P409" s="60"/>
      <c r="Q409" s="60"/>
      <c r="R409" s="60"/>
      <c r="S409" s="60"/>
      <c r="T409" s="60"/>
      <c r="U409" s="60">
        <f>22*F409</f>
        <v>145503.82</v>
      </c>
      <c r="V409" s="60"/>
      <c r="W409" s="62">
        <f t="shared" si="324"/>
        <v>6595503.8200000003</v>
      </c>
      <c r="X409" s="60" t="s">
        <v>18</v>
      </c>
      <c r="Y409" s="59">
        <v>0</v>
      </c>
      <c r="Z409" s="59">
        <v>0</v>
      </c>
      <c r="AA409" s="59">
        <v>0</v>
      </c>
      <c r="AB409" s="54">
        <f t="shared" si="325"/>
        <v>6595503.8200000003</v>
      </c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</row>
    <row r="410" spans="1:39" s="31" customFormat="1" ht="52.5" customHeight="1" x14ac:dyDescent="0.35">
      <c r="A410" s="31">
        <v>2019</v>
      </c>
      <c r="B410" s="53">
        <f>IF(OR(E410=0,E410=""),"",COUNTA($E$307:E410))</f>
        <v>87</v>
      </c>
      <c r="C410" s="53" t="s">
        <v>218</v>
      </c>
      <c r="D410" s="58" t="s">
        <v>894</v>
      </c>
      <c r="E410" s="59">
        <v>1958</v>
      </c>
      <c r="F410" s="60">
        <v>1368.1</v>
      </c>
      <c r="G410" s="60">
        <v>950.5</v>
      </c>
      <c r="H410" s="60">
        <v>0</v>
      </c>
      <c r="I410" s="60" t="s">
        <v>34</v>
      </c>
      <c r="J410" s="60"/>
      <c r="K410" s="60"/>
      <c r="L410" s="60"/>
      <c r="M410" s="60"/>
      <c r="N410" s="60"/>
      <c r="O410" s="60"/>
      <c r="P410" s="60">
        <f>1919*F410</f>
        <v>2625383.9</v>
      </c>
      <c r="Q410" s="60"/>
      <c r="R410" s="60">
        <f>1853*F410</f>
        <v>2535089.2999999998</v>
      </c>
      <c r="S410" s="60"/>
      <c r="T410" s="60"/>
      <c r="U410" s="60">
        <f>119*F410</f>
        <v>162803.9</v>
      </c>
      <c r="V410" s="60"/>
      <c r="W410" s="62">
        <f t="shared" si="324"/>
        <v>5323277.0999999996</v>
      </c>
      <c r="X410" s="60" t="s">
        <v>18</v>
      </c>
      <c r="Y410" s="59">
        <v>0</v>
      </c>
      <c r="Z410" s="59">
        <v>0</v>
      </c>
      <c r="AA410" s="59">
        <v>0</v>
      </c>
      <c r="AB410" s="54">
        <f t="shared" si="325"/>
        <v>5323277.0999999996</v>
      </c>
    </row>
    <row r="411" spans="1:39" s="31" customFormat="1" ht="52.5" customHeight="1" x14ac:dyDescent="0.35">
      <c r="A411" s="31">
        <v>2019</v>
      </c>
      <c r="B411" s="53">
        <f>IF(OR(E411=0,E411=""),"",COUNTA($E$307:E411))</f>
        <v>88</v>
      </c>
      <c r="C411" s="53" t="s">
        <v>240</v>
      </c>
      <c r="D411" s="58" t="s">
        <v>895</v>
      </c>
      <c r="E411" s="59">
        <v>1959</v>
      </c>
      <c r="F411" s="60">
        <v>1563.9</v>
      </c>
      <c r="G411" s="60">
        <v>1146.3</v>
      </c>
      <c r="H411" s="60">
        <v>78.900000000000006</v>
      </c>
      <c r="I411" s="60" t="s">
        <v>34</v>
      </c>
      <c r="J411" s="60"/>
      <c r="K411" s="60"/>
      <c r="L411" s="60"/>
      <c r="M411" s="60"/>
      <c r="N411" s="60"/>
      <c r="O411" s="60"/>
      <c r="P411" s="60">
        <f>1919*F411</f>
        <v>3001124.1</v>
      </c>
      <c r="Q411" s="60"/>
      <c r="R411" s="60">
        <f>1853*F411</f>
        <v>2897906.7</v>
      </c>
      <c r="S411" s="60"/>
      <c r="T411" s="60"/>
      <c r="U411" s="60">
        <f>119*F411</f>
        <v>186104.1</v>
      </c>
      <c r="V411" s="60"/>
      <c r="W411" s="62">
        <f t="shared" si="324"/>
        <v>6085134.9000000004</v>
      </c>
      <c r="X411" s="60" t="s">
        <v>18</v>
      </c>
      <c r="Y411" s="59">
        <v>0</v>
      </c>
      <c r="Z411" s="59">
        <v>0</v>
      </c>
      <c r="AA411" s="59">
        <v>0</v>
      </c>
      <c r="AB411" s="54">
        <f t="shared" si="325"/>
        <v>6085134.9000000004</v>
      </c>
    </row>
    <row r="412" spans="1:39" s="31" customFormat="1" ht="52.5" customHeight="1" x14ac:dyDescent="0.35">
      <c r="A412" s="31">
        <v>2019</v>
      </c>
      <c r="B412" s="53">
        <f>IF(OR(E412=0,E412=""),"",COUNTA($E$307:E412))</f>
        <v>89</v>
      </c>
      <c r="C412" s="53" t="s">
        <v>251</v>
      </c>
      <c r="D412" s="58" t="s">
        <v>896</v>
      </c>
      <c r="E412" s="59">
        <v>1958</v>
      </c>
      <c r="F412" s="60">
        <v>3386.3</v>
      </c>
      <c r="G412" s="60">
        <v>2035.9</v>
      </c>
      <c r="H412" s="60">
        <v>1350.4</v>
      </c>
      <c r="I412" s="60" t="s">
        <v>33</v>
      </c>
      <c r="J412" s="60"/>
      <c r="K412" s="60"/>
      <c r="L412" s="60"/>
      <c r="M412" s="60"/>
      <c r="N412" s="60"/>
      <c r="O412" s="60"/>
      <c r="P412" s="60">
        <f>1972*F412</f>
        <v>6677783.5999999996</v>
      </c>
      <c r="Q412" s="60"/>
      <c r="R412" s="60">
        <f>1917*F412</f>
        <v>6491537.0999999996</v>
      </c>
      <c r="S412" s="60"/>
      <c r="T412" s="60"/>
      <c r="U412" s="60">
        <f>97*F412</f>
        <v>328471.09999999998</v>
      </c>
      <c r="V412" s="61"/>
      <c r="W412" s="62">
        <f t="shared" si="324"/>
        <v>13497791.800000001</v>
      </c>
      <c r="X412" s="60" t="s">
        <v>18</v>
      </c>
      <c r="Y412" s="59">
        <v>0</v>
      </c>
      <c r="Z412" s="59">
        <v>0</v>
      </c>
      <c r="AA412" s="59">
        <v>0</v>
      </c>
      <c r="AB412" s="54">
        <f t="shared" si="325"/>
        <v>13497791.800000001</v>
      </c>
    </row>
    <row r="413" spans="1:39" s="31" customFormat="1" ht="52.5" customHeight="1" x14ac:dyDescent="0.35">
      <c r="A413" s="31">
        <v>2019</v>
      </c>
      <c r="B413" s="53">
        <f>IF(OR(E413=0,E413=""),"",COUNTA($E$307:E413))</f>
        <v>90</v>
      </c>
      <c r="C413" s="53" t="s">
        <v>254</v>
      </c>
      <c r="D413" s="58" t="s">
        <v>897</v>
      </c>
      <c r="E413" s="59">
        <v>1959</v>
      </c>
      <c r="F413" s="60">
        <v>1665.1</v>
      </c>
      <c r="G413" s="60">
        <v>1542</v>
      </c>
      <c r="H413" s="60">
        <v>123.1</v>
      </c>
      <c r="I413" s="60" t="s">
        <v>36</v>
      </c>
      <c r="J413" s="60"/>
      <c r="K413" s="60"/>
      <c r="L413" s="60"/>
      <c r="M413" s="60"/>
      <c r="N413" s="60"/>
      <c r="O413" s="60"/>
      <c r="P413" s="60">
        <f>1972*F413</f>
        <v>3283577.2</v>
      </c>
      <c r="Q413" s="60"/>
      <c r="R413" s="60">
        <f>1917*F413</f>
        <v>3191996.7</v>
      </c>
      <c r="S413" s="60"/>
      <c r="T413" s="60"/>
      <c r="U413" s="60">
        <f>97*F413</f>
        <v>161514.70000000001</v>
      </c>
      <c r="V413" s="61"/>
      <c r="W413" s="62">
        <f t="shared" si="324"/>
        <v>6637088.5999999996</v>
      </c>
      <c r="X413" s="60" t="s">
        <v>18</v>
      </c>
      <c r="Y413" s="59">
        <v>0</v>
      </c>
      <c r="Z413" s="59">
        <v>0</v>
      </c>
      <c r="AA413" s="59">
        <v>0</v>
      </c>
      <c r="AB413" s="54">
        <f t="shared" si="325"/>
        <v>6637088.5999999996</v>
      </c>
    </row>
    <row r="414" spans="1:39" s="31" customFormat="1" ht="52.5" customHeight="1" x14ac:dyDescent="0.35">
      <c r="A414" s="31">
        <v>2019</v>
      </c>
      <c r="B414" s="53">
        <f>IF(OR(E414=0,E414=""),"",COUNTA($E$307:E414))</f>
        <v>91</v>
      </c>
      <c r="C414" s="53" t="s">
        <v>336</v>
      </c>
      <c r="D414" s="58" t="s">
        <v>898</v>
      </c>
      <c r="E414" s="59">
        <v>1958</v>
      </c>
      <c r="F414" s="60">
        <v>2403.5</v>
      </c>
      <c r="G414" s="60">
        <v>1456.7</v>
      </c>
      <c r="H414" s="60">
        <v>522.9</v>
      </c>
      <c r="I414" s="60" t="s">
        <v>33</v>
      </c>
      <c r="J414" s="60"/>
      <c r="K414" s="60"/>
      <c r="L414" s="60"/>
      <c r="M414" s="60"/>
      <c r="N414" s="60"/>
      <c r="O414" s="60"/>
      <c r="P414" s="60">
        <f>1972*F414</f>
        <v>4739702</v>
      </c>
      <c r="Q414" s="60"/>
      <c r="R414" s="60">
        <f>1917*F414</f>
        <v>4607509.5</v>
      </c>
      <c r="S414" s="60"/>
      <c r="T414" s="60"/>
      <c r="U414" s="60">
        <f>97*F414</f>
        <v>233139.5</v>
      </c>
      <c r="V414" s="61"/>
      <c r="W414" s="62">
        <f t="shared" si="324"/>
        <v>9580351</v>
      </c>
      <c r="X414" s="60" t="s">
        <v>18</v>
      </c>
      <c r="Y414" s="59">
        <v>0</v>
      </c>
      <c r="Z414" s="59">
        <v>0</v>
      </c>
      <c r="AA414" s="59">
        <v>0</v>
      </c>
      <c r="AB414" s="54">
        <f t="shared" si="325"/>
        <v>9580351</v>
      </c>
    </row>
    <row r="415" spans="1:39" s="31" customFormat="1" ht="52.5" customHeight="1" x14ac:dyDescent="0.35">
      <c r="A415" s="31">
        <v>2019</v>
      </c>
      <c r="B415" s="53">
        <f>IF(OR(E415=0,E415=""),"",COUNTA($E$307:E415))</f>
        <v>92</v>
      </c>
      <c r="C415" s="53" t="s">
        <v>382</v>
      </c>
      <c r="D415" s="58" t="s">
        <v>899</v>
      </c>
      <c r="E415" s="59">
        <v>1957</v>
      </c>
      <c r="F415" s="60">
        <v>2867</v>
      </c>
      <c r="G415" s="60">
        <v>2077.9</v>
      </c>
      <c r="H415" s="60">
        <v>0</v>
      </c>
      <c r="I415" s="60" t="s">
        <v>36</v>
      </c>
      <c r="J415" s="60"/>
      <c r="K415" s="60"/>
      <c r="L415" s="60"/>
      <c r="M415" s="60"/>
      <c r="N415" s="60"/>
      <c r="O415" s="60"/>
      <c r="P415" s="60">
        <f>1972*F415</f>
        <v>5653724</v>
      </c>
      <c r="Q415" s="60"/>
      <c r="R415" s="60">
        <f>1917*F415</f>
        <v>5496039</v>
      </c>
      <c r="S415" s="60"/>
      <c r="T415" s="60"/>
      <c r="U415" s="60">
        <f>97*F415</f>
        <v>278099</v>
      </c>
      <c r="V415" s="61"/>
      <c r="W415" s="62">
        <f t="shared" si="324"/>
        <v>11427862</v>
      </c>
      <c r="X415" s="60" t="s">
        <v>18</v>
      </c>
      <c r="Y415" s="59">
        <v>0</v>
      </c>
      <c r="Z415" s="59">
        <v>0</v>
      </c>
      <c r="AA415" s="59">
        <v>0</v>
      </c>
      <c r="AB415" s="54">
        <f t="shared" si="325"/>
        <v>11427862</v>
      </c>
    </row>
    <row r="416" spans="1:39" s="31" customFormat="1" ht="52.5" customHeight="1" x14ac:dyDescent="0.35">
      <c r="A416" s="31">
        <v>2019</v>
      </c>
      <c r="B416" s="53">
        <f>IF(OR(E416=0,E416=""),"",COUNTA($E$307:E416))</f>
        <v>93</v>
      </c>
      <c r="C416" s="53" t="s">
        <v>380</v>
      </c>
      <c r="D416" s="58" t="s">
        <v>900</v>
      </c>
      <c r="E416" s="59">
        <v>1958</v>
      </c>
      <c r="F416" s="60">
        <v>4249.1000000000004</v>
      </c>
      <c r="G416" s="60">
        <v>3364.2</v>
      </c>
      <c r="H416" s="60">
        <v>148.1</v>
      </c>
      <c r="I416" s="60" t="s">
        <v>36</v>
      </c>
      <c r="J416" s="60"/>
      <c r="K416" s="60"/>
      <c r="L416" s="60"/>
      <c r="M416" s="60"/>
      <c r="N416" s="60"/>
      <c r="O416" s="60"/>
      <c r="P416" s="60">
        <f>1972*F416</f>
        <v>8379225.2000000002</v>
      </c>
      <c r="Q416" s="60"/>
      <c r="R416" s="60">
        <f>1917*F416</f>
        <v>8145524.7000000002</v>
      </c>
      <c r="S416" s="60"/>
      <c r="T416" s="60"/>
      <c r="U416" s="60">
        <f>97*F416</f>
        <v>412162.7</v>
      </c>
      <c r="V416" s="61"/>
      <c r="W416" s="62">
        <f t="shared" si="324"/>
        <v>16936912.600000001</v>
      </c>
      <c r="X416" s="60" t="s">
        <v>18</v>
      </c>
      <c r="Y416" s="59">
        <v>0</v>
      </c>
      <c r="Z416" s="59">
        <v>0</v>
      </c>
      <c r="AA416" s="59">
        <v>0</v>
      </c>
      <c r="AB416" s="54">
        <f t="shared" si="325"/>
        <v>16936912.600000001</v>
      </c>
    </row>
    <row r="417" spans="1:28" s="31" customFormat="1" ht="52.5" customHeight="1" x14ac:dyDescent="0.35">
      <c r="A417" s="31">
        <v>2019</v>
      </c>
      <c r="B417" s="53">
        <f>IF(OR(E417=0,E417=""),"",COUNTA($E$307:E417))</f>
        <v>94</v>
      </c>
      <c r="C417" s="53" t="s">
        <v>384</v>
      </c>
      <c r="D417" s="58" t="s">
        <v>901</v>
      </c>
      <c r="E417" s="59">
        <v>1957</v>
      </c>
      <c r="F417" s="60">
        <v>1174.0999999999999</v>
      </c>
      <c r="G417" s="60">
        <v>669.6</v>
      </c>
      <c r="H417" s="60">
        <v>195</v>
      </c>
      <c r="I417" s="60" t="s">
        <v>34</v>
      </c>
      <c r="J417" s="60"/>
      <c r="K417" s="60"/>
      <c r="L417" s="60"/>
      <c r="M417" s="60"/>
      <c r="N417" s="60"/>
      <c r="O417" s="60"/>
      <c r="P417" s="60">
        <f>1919*F417</f>
        <v>2253097.9</v>
      </c>
      <c r="Q417" s="60"/>
      <c r="R417" s="60">
        <f>1853*F417</f>
        <v>2175607.2999999998</v>
      </c>
      <c r="S417" s="60"/>
      <c r="T417" s="60"/>
      <c r="U417" s="60">
        <f>119*F417</f>
        <v>139717.9</v>
      </c>
      <c r="V417" s="60"/>
      <c r="W417" s="62">
        <f t="shared" si="324"/>
        <v>4568423.0999999996</v>
      </c>
      <c r="X417" s="60" t="s">
        <v>18</v>
      </c>
      <c r="Y417" s="59">
        <v>0</v>
      </c>
      <c r="Z417" s="59">
        <v>0</v>
      </c>
      <c r="AA417" s="59">
        <v>0</v>
      </c>
      <c r="AB417" s="54">
        <f t="shared" si="325"/>
        <v>4568423.0999999996</v>
      </c>
    </row>
    <row r="418" spans="1:28" s="31" customFormat="1" ht="52.5" customHeight="1" x14ac:dyDescent="0.35">
      <c r="A418" s="31">
        <v>2019</v>
      </c>
      <c r="B418" s="53">
        <f>IF(OR(E418=0,E418=""),"",COUNTA($E$307:E418))</f>
        <v>95</v>
      </c>
      <c r="C418" s="53" t="s">
        <v>392</v>
      </c>
      <c r="D418" s="58" t="s">
        <v>902</v>
      </c>
      <c r="E418" s="59">
        <v>1960</v>
      </c>
      <c r="F418" s="60">
        <v>2344.3000000000002</v>
      </c>
      <c r="G418" s="60">
        <v>1729.7</v>
      </c>
      <c r="H418" s="60">
        <v>614.6</v>
      </c>
      <c r="I418" s="60" t="s">
        <v>36</v>
      </c>
      <c r="J418" s="60"/>
      <c r="K418" s="60"/>
      <c r="L418" s="60"/>
      <c r="M418" s="60"/>
      <c r="N418" s="60"/>
      <c r="O418" s="60"/>
      <c r="P418" s="60">
        <f>1972*F418</f>
        <v>4622959.5999999996</v>
      </c>
      <c r="Q418" s="60"/>
      <c r="R418" s="60">
        <f>1917*F418</f>
        <v>4494023.0999999996</v>
      </c>
      <c r="S418" s="60"/>
      <c r="T418" s="60"/>
      <c r="U418" s="60">
        <f>97*F418</f>
        <v>227397.1</v>
      </c>
      <c r="V418" s="61"/>
      <c r="W418" s="62">
        <f t="shared" si="324"/>
        <v>9344379.8000000007</v>
      </c>
      <c r="X418" s="60" t="s">
        <v>18</v>
      </c>
      <c r="Y418" s="59">
        <v>0</v>
      </c>
      <c r="Z418" s="59">
        <v>0</v>
      </c>
      <c r="AA418" s="59">
        <v>0</v>
      </c>
      <c r="AB418" s="54">
        <f t="shared" si="325"/>
        <v>9344379.8000000007</v>
      </c>
    </row>
    <row r="419" spans="1:28" s="31" customFormat="1" ht="52.5" customHeight="1" x14ac:dyDescent="0.35">
      <c r="A419" s="31">
        <v>2019</v>
      </c>
      <c r="B419" s="53">
        <f>IF(OR(E419=0,E419=""),"",COUNTA($E$307:E419))</f>
        <v>96</v>
      </c>
      <c r="C419" s="53" t="s">
        <v>403</v>
      </c>
      <c r="D419" s="58" t="s">
        <v>903</v>
      </c>
      <c r="E419" s="59">
        <v>1959</v>
      </c>
      <c r="F419" s="60">
        <v>1683.45</v>
      </c>
      <c r="G419" s="60">
        <v>1267.55</v>
      </c>
      <c r="H419" s="60">
        <v>0</v>
      </c>
      <c r="I419" s="60" t="s">
        <v>36</v>
      </c>
      <c r="J419" s="60"/>
      <c r="K419" s="60"/>
      <c r="L419" s="60"/>
      <c r="M419" s="60"/>
      <c r="N419" s="60"/>
      <c r="O419" s="60"/>
      <c r="P419" s="60">
        <f>1972*F419</f>
        <v>3319763.4</v>
      </c>
      <c r="Q419" s="60"/>
      <c r="R419" s="60">
        <f>1917*F419</f>
        <v>3227173.65</v>
      </c>
      <c r="S419" s="60"/>
      <c r="T419" s="60"/>
      <c r="U419" s="60">
        <f>97*F419</f>
        <v>163294.65</v>
      </c>
      <c r="V419" s="61"/>
      <c r="W419" s="62">
        <f t="shared" si="324"/>
        <v>6710231.7000000002</v>
      </c>
      <c r="X419" s="60" t="s">
        <v>18</v>
      </c>
      <c r="Y419" s="59">
        <v>0</v>
      </c>
      <c r="Z419" s="59">
        <v>0</v>
      </c>
      <c r="AA419" s="59">
        <v>0</v>
      </c>
      <c r="AB419" s="54">
        <f t="shared" si="325"/>
        <v>6710231.7000000002</v>
      </c>
    </row>
    <row r="420" spans="1:28" s="31" customFormat="1" ht="52.5" customHeight="1" x14ac:dyDescent="0.35">
      <c r="A420" s="31">
        <v>2019</v>
      </c>
      <c r="B420" s="53">
        <f>IF(OR(E420=0,E420=""),"",COUNTA($E$307:E420))</f>
        <v>97</v>
      </c>
      <c r="C420" s="53" t="s">
        <v>381</v>
      </c>
      <c r="D420" s="58" t="s">
        <v>904</v>
      </c>
      <c r="E420" s="59">
        <v>1958</v>
      </c>
      <c r="F420" s="60">
        <v>2158.5</v>
      </c>
      <c r="G420" s="60">
        <v>2051.6</v>
      </c>
      <c r="H420" s="60">
        <v>0</v>
      </c>
      <c r="I420" s="60" t="s">
        <v>36</v>
      </c>
      <c r="J420" s="60"/>
      <c r="K420" s="60"/>
      <c r="L420" s="60"/>
      <c r="M420" s="60"/>
      <c r="N420" s="60"/>
      <c r="O420" s="60"/>
      <c r="P420" s="60">
        <f>1972*F420</f>
        <v>4256562</v>
      </c>
      <c r="Q420" s="60"/>
      <c r="R420" s="60">
        <f>1917*F420</f>
        <v>4137844.5</v>
      </c>
      <c r="S420" s="60"/>
      <c r="T420" s="60"/>
      <c r="U420" s="60">
        <f>97*F420</f>
        <v>209374.5</v>
      </c>
      <c r="V420" s="61"/>
      <c r="W420" s="62">
        <f t="shared" si="324"/>
        <v>8603781</v>
      </c>
      <c r="X420" s="60" t="s">
        <v>18</v>
      </c>
      <c r="Y420" s="59">
        <v>0</v>
      </c>
      <c r="Z420" s="59">
        <v>0</v>
      </c>
      <c r="AA420" s="59">
        <v>0</v>
      </c>
      <c r="AB420" s="54">
        <f t="shared" si="325"/>
        <v>8603781</v>
      </c>
    </row>
    <row r="421" spans="1:28" s="31" customFormat="1" ht="52.5" customHeight="1" x14ac:dyDescent="0.35">
      <c r="A421" s="31">
        <v>2019</v>
      </c>
      <c r="B421" s="53">
        <f>IF(OR(E421=0,E421=""),"",COUNTA($E$307:E421))</f>
        <v>98</v>
      </c>
      <c r="C421" s="53" t="s">
        <v>399</v>
      </c>
      <c r="D421" s="58" t="s">
        <v>905</v>
      </c>
      <c r="E421" s="59">
        <v>1958</v>
      </c>
      <c r="F421" s="60">
        <v>847.6</v>
      </c>
      <c r="G421" s="60">
        <v>765</v>
      </c>
      <c r="H421" s="60">
        <v>0</v>
      </c>
      <c r="I421" s="60" t="s">
        <v>35</v>
      </c>
      <c r="J421" s="60"/>
      <c r="K421" s="60"/>
      <c r="L421" s="60"/>
      <c r="M421" s="60"/>
      <c r="N421" s="60"/>
      <c r="O421" s="60"/>
      <c r="P421" s="60">
        <f>1919*F421</f>
        <v>1626544.4</v>
      </c>
      <c r="Q421" s="60"/>
      <c r="R421" s="60">
        <f>1853*F421</f>
        <v>1570602.8</v>
      </c>
      <c r="S421" s="60"/>
      <c r="T421" s="60"/>
      <c r="U421" s="60">
        <f>119*F421</f>
        <v>100864.4</v>
      </c>
      <c r="V421" s="60"/>
      <c r="W421" s="62">
        <f t="shared" ref="W421:W449" si="327">V421+U421+T421+S421+R421+Q421+P421+O421+N421+M421+L421+K421+J421</f>
        <v>3298011.6</v>
      </c>
      <c r="X421" s="60" t="s">
        <v>18</v>
      </c>
      <c r="Y421" s="59">
        <v>0</v>
      </c>
      <c r="Z421" s="59">
        <v>0</v>
      </c>
      <c r="AA421" s="59">
        <v>0</v>
      </c>
      <c r="AB421" s="54">
        <f t="shared" ref="AB421:AB449" si="328">W421-(Y421+Z421+AA421)</f>
        <v>3298011.6</v>
      </c>
    </row>
    <row r="422" spans="1:28" s="31" customFormat="1" ht="52.5" customHeight="1" x14ac:dyDescent="0.35">
      <c r="A422" s="31">
        <v>2019</v>
      </c>
      <c r="B422" s="53">
        <f>IF(OR(E422=0,E422=""),"",COUNTA($E$307:E422))</f>
        <v>99</v>
      </c>
      <c r="C422" s="53" t="s">
        <v>373</v>
      </c>
      <c r="D422" s="58" t="s">
        <v>906</v>
      </c>
      <c r="E422" s="59">
        <v>1962</v>
      </c>
      <c r="F422" s="60">
        <v>1680.5</v>
      </c>
      <c r="G422" s="60">
        <v>1244.0999999999999</v>
      </c>
      <c r="H422" s="60">
        <v>436.4</v>
      </c>
      <c r="I422" s="60" t="s">
        <v>36</v>
      </c>
      <c r="J422" s="60">
        <f>F422*228</f>
        <v>383154</v>
      </c>
      <c r="K422" s="60">
        <f>434*F422</f>
        <v>729337</v>
      </c>
      <c r="L422" s="60"/>
      <c r="M422" s="60">
        <f>268*F422</f>
        <v>450374</v>
      </c>
      <c r="N422" s="60">
        <f>F422*115</f>
        <v>193257.5</v>
      </c>
      <c r="O422" s="60"/>
      <c r="P422" s="60"/>
      <c r="Q422" s="60"/>
      <c r="R422" s="60"/>
      <c r="S422" s="60"/>
      <c r="T422" s="60"/>
      <c r="U422" s="60">
        <f>107*F422</f>
        <v>179813.5</v>
      </c>
      <c r="V422" s="61"/>
      <c r="W422" s="62">
        <f t="shared" si="327"/>
        <v>1935936</v>
      </c>
      <c r="X422" s="60" t="s">
        <v>18</v>
      </c>
      <c r="Y422" s="59">
        <v>0</v>
      </c>
      <c r="Z422" s="59">
        <v>0</v>
      </c>
      <c r="AA422" s="59">
        <v>0</v>
      </c>
      <c r="AB422" s="54">
        <f t="shared" si="328"/>
        <v>1935936</v>
      </c>
    </row>
    <row r="423" spans="1:28" s="31" customFormat="1" ht="52.5" customHeight="1" x14ac:dyDescent="0.35">
      <c r="A423" s="31">
        <v>2019</v>
      </c>
      <c r="B423" s="53">
        <f>IF(OR(E423=0,E423=""),"",COUNTA($E$307:E423))</f>
        <v>100</v>
      </c>
      <c r="C423" s="53" t="s">
        <v>376</v>
      </c>
      <c r="D423" s="58" t="s">
        <v>907</v>
      </c>
      <c r="E423" s="59">
        <v>1962</v>
      </c>
      <c r="F423" s="60">
        <v>1615.2</v>
      </c>
      <c r="G423" s="60">
        <v>1441.8</v>
      </c>
      <c r="H423" s="60">
        <v>0</v>
      </c>
      <c r="I423" s="60" t="s">
        <v>36</v>
      </c>
      <c r="J423" s="60"/>
      <c r="K423" s="60"/>
      <c r="L423" s="60"/>
      <c r="M423" s="60"/>
      <c r="N423" s="60"/>
      <c r="O423" s="60"/>
      <c r="P423" s="60">
        <f>1972*F423</f>
        <v>3185174.4</v>
      </c>
      <c r="Q423" s="60"/>
      <c r="R423" s="60">
        <f t="shared" ref="R423:R430" si="329">1917*F423</f>
        <v>3096338.4</v>
      </c>
      <c r="S423" s="60"/>
      <c r="T423" s="60"/>
      <c r="U423" s="60"/>
      <c r="V423" s="61"/>
      <c r="W423" s="62">
        <f t="shared" si="327"/>
        <v>6281512.7999999998</v>
      </c>
      <c r="X423" s="60" t="s">
        <v>18</v>
      </c>
      <c r="Y423" s="59">
        <v>0</v>
      </c>
      <c r="Z423" s="59">
        <v>0</v>
      </c>
      <c r="AA423" s="59">
        <v>0</v>
      </c>
      <c r="AB423" s="54">
        <f t="shared" si="328"/>
        <v>6281512.7999999998</v>
      </c>
    </row>
    <row r="424" spans="1:28" s="31" customFormat="1" ht="52.5" customHeight="1" x14ac:dyDescent="0.35">
      <c r="A424" s="31">
        <v>2019</v>
      </c>
      <c r="B424" s="53">
        <f>IF(OR(E424=0,E424=""),"",COUNTA($E$307:E424))</f>
        <v>101</v>
      </c>
      <c r="C424" s="53" t="s">
        <v>265</v>
      </c>
      <c r="D424" s="58" t="s">
        <v>908</v>
      </c>
      <c r="E424" s="59">
        <v>1962</v>
      </c>
      <c r="F424" s="60">
        <v>4200.5</v>
      </c>
      <c r="G424" s="60">
        <v>3113.1</v>
      </c>
      <c r="H424" s="60">
        <v>0</v>
      </c>
      <c r="I424" s="60" t="s">
        <v>33</v>
      </c>
      <c r="J424" s="60"/>
      <c r="K424" s="60"/>
      <c r="L424" s="60"/>
      <c r="M424" s="60"/>
      <c r="N424" s="60"/>
      <c r="O424" s="60"/>
      <c r="P424" s="60">
        <f>1972*F424</f>
        <v>8283386</v>
      </c>
      <c r="Q424" s="60"/>
      <c r="R424" s="60">
        <f t="shared" si="329"/>
        <v>8052358.5</v>
      </c>
      <c r="S424" s="60"/>
      <c r="T424" s="60"/>
      <c r="U424" s="60">
        <f t="shared" ref="U424:U426" si="330">97*F424</f>
        <v>407448.5</v>
      </c>
      <c r="V424" s="61"/>
      <c r="W424" s="62">
        <f t="shared" si="327"/>
        <v>16743193</v>
      </c>
      <c r="X424" s="60" t="s">
        <v>18</v>
      </c>
      <c r="Y424" s="59">
        <v>0</v>
      </c>
      <c r="Z424" s="59">
        <v>0</v>
      </c>
      <c r="AA424" s="59">
        <v>0</v>
      </c>
      <c r="AB424" s="54">
        <f t="shared" si="328"/>
        <v>16743193</v>
      </c>
    </row>
    <row r="425" spans="1:28" s="31" customFormat="1" ht="52.5" customHeight="1" x14ac:dyDescent="0.35">
      <c r="A425" s="31">
        <v>2019</v>
      </c>
      <c r="B425" s="53">
        <f>IF(OR(E425=0,E425=""),"",COUNTA($E$307:E425))</f>
        <v>102</v>
      </c>
      <c r="C425" s="53" t="s">
        <v>262</v>
      </c>
      <c r="D425" s="58" t="s">
        <v>909</v>
      </c>
      <c r="E425" s="59">
        <v>1961</v>
      </c>
      <c r="F425" s="60">
        <v>1732.6</v>
      </c>
      <c r="G425" s="60">
        <v>1587.2</v>
      </c>
      <c r="H425" s="60">
        <v>145.4</v>
      </c>
      <c r="I425" s="60" t="s">
        <v>33</v>
      </c>
      <c r="J425" s="60"/>
      <c r="K425" s="60"/>
      <c r="L425" s="60"/>
      <c r="M425" s="60"/>
      <c r="N425" s="60"/>
      <c r="O425" s="60"/>
      <c r="P425" s="60">
        <f>1972*F425</f>
        <v>3416687.2</v>
      </c>
      <c r="Q425" s="60"/>
      <c r="R425" s="60">
        <f t="shared" si="329"/>
        <v>3321394.2</v>
      </c>
      <c r="S425" s="60"/>
      <c r="T425" s="60"/>
      <c r="U425" s="60">
        <f t="shared" si="330"/>
        <v>168062.2</v>
      </c>
      <c r="V425" s="61"/>
      <c r="W425" s="62">
        <f t="shared" si="327"/>
        <v>6906143.5999999996</v>
      </c>
      <c r="X425" s="60" t="s">
        <v>18</v>
      </c>
      <c r="Y425" s="59">
        <v>0</v>
      </c>
      <c r="Z425" s="59">
        <v>0</v>
      </c>
      <c r="AA425" s="59">
        <v>0</v>
      </c>
      <c r="AB425" s="54">
        <f t="shared" si="328"/>
        <v>6906143.5999999996</v>
      </c>
    </row>
    <row r="426" spans="1:28" s="31" customFormat="1" ht="52.5" customHeight="1" x14ac:dyDescent="0.35">
      <c r="A426" s="31">
        <v>2019</v>
      </c>
      <c r="B426" s="53">
        <f>IF(OR(E426=0,E426=""),"",COUNTA($E$307:E426))</f>
        <v>103</v>
      </c>
      <c r="C426" s="53" t="s">
        <v>299</v>
      </c>
      <c r="D426" s="58" t="s">
        <v>910</v>
      </c>
      <c r="E426" s="59">
        <v>1963</v>
      </c>
      <c r="F426" s="60">
        <v>2055.6999999999998</v>
      </c>
      <c r="G426" s="60">
        <v>1575.4</v>
      </c>
      <c r="H426" s="60">
        <v>19.2</v>
      </c>
      <c r="I426" s="60" t="s">
        <v>33</v>
      </c>
      <c r="J426" s="60"/>
      <c r="K426" s="60"/>
      <c r="L426" s="60"/>
      <c r="M426" s="60"/>
      <c r="N426" s="60"/>
      <c r="O426" s="60"/>
      <c r="P426" s="60">
        <f>1972*F426</f>
        <v>4053840.4</v>
      </c>
      <c r="Q426" s="60"/>
      <c r="R426" s="60">
        <f t="shared" si="329"/>
        <v>3940776.9</v>
      </c>
      <c r="S426" s="60"/>
      <c r="T426" s="60"/>
      <c r="U426" s="60">
        <f t="shared" si="330"/>
        <v>199402.9</v>
      </c>
      <c r="V426" s="61"/>
      <c r="W426" s="62">
        <f t="shared" si="327"/>
        <v>8194020.2000000002</v>
      </c>
      <c r="X426" s="60" t="s">
        <v>18</v>
      </c>
      <c r="Y426" s="59">
        <v>0</v>
      </c>
      <c r="Z426" s="59">
        <v>0</v>
      </c>
      <c r="AA426" s="59">
        <v>0</v>
      </c>
      <c r="AB426" s="54">
        <f t="shared" si="328"/>
        <v>8194020.2000000002</v>
      </c>
    </row>
    <row r="427" spans="1:28" s="31" customFormat="1" ht="52.5" customHeight="1" x14ac:dyDescent="0.35">
      <c r="A427" s="31">
        <v>2019</v>
      </c>
      <c r="B427" s="53">
        <f>IF(OR(E427=0,E427=""),"",COUNTA($E$307:E427))</f>
        <v>104</v>
      </c>
      <c r="C427" s="53" t="s">
        <v>303</v>
      </c>
      <c r="D427" s="58" t="s">
        <v>911</v>
      </c>
      <c r="E427" s="59">
        <v>1962</v>
      </c>
      <c r="F427" s="60">
        <v>2065.5</v>
      </c>
      <c r="G427" s="60">
        <v>1514.6</v>
      </c>
      <c r="H427" s="60">
        <v>83.1</v>
      </c>
      <c r="I427" s="60" t="s">
        <v>33</v>
      </c>
      <c r="J427" s="60"/>
      <c r="K427" s="60"/>
      <c r="L427" s="60"/>
      <c r="M427" s="60"/>
      <c r="N427" s="60"/>
      <c r="O427" s="60"/>
      <c r="P427" s="60"/>
      <c r="Q427" s="60"/>
      <c r="R427" s="60">
        <f t="shared" si="329"/>
        <v>3959563.5</v>
      </c>
      <c r="S427" s="60"/>
      <c r="T427" s="60"/>
      <c r="U427" s="60"/>
      <c r="V427" s="61"/>
      <c r="W427" s="62">
        <f t="shared" si="327"/>
        <v>3959563.5</v>
      </c>
      <c r="X427" s="60" t="s">
        <v>18</v>
      </c>
      <c r="Y427" s="59">
        <v>0</v>
      </c>
      <c r="Z427" s="59">
        <v>0</v>
      </c>
      <c r="AA427" s="59">
        <v>0</v>
      </c>
      <c r="AB427" s="54">
        <f t="shared" si="328"/>
        <v>3959563.5</v>
      </c>
    </row>
    <row r="428" spans="1:28" s="31" customFormat="1" ht="52.5" customHeight="1" x14ac:dyDescent="0.35">
      <c r="B428" s="53">
        <f>IF(OR(E428=0,E428=""),"",COUNTA($E$307:E428))</f>
        <v>105</v>
      </c>
      <c r="C428" s="53" t="s">
        <v>427</v>
      </c>
      <c r="D428" s="82" t="s">
        <v>694</v>
      </c>
      <c r="E428" s="58">
        <v>1962</v>
      </c>
      <c r="F428" s="60">
        <v>1614.9</v>
      </c>
      <c r="G428" s="60">
        <v>1631.4</v>
      </c>
      <c r="H428" s="60">
        <v>72.2</v>
      </c>
      <c r="I428" s="60" t="s">
        <v>36</v>
      </c>
      <c r="J428" s="60"/>
      <c r="K428" s="60"/>
      <c r="L428" s="60"/>
      <c r="M428" s="60"/>
      <c r="N428" s="60"/>
      <c r="O428" s="60"/>
      <c r="P428" s="60"/>
      <c r="Q428" s="60"/>
      <c r="R428" s="60">
        <f t="shared" si="329"/>
        <v>3095763.3</v>
      </c>
      <c r="S428" s="60"/>
      <c r="T428" s="60"/>
      <c r="U428" s="60"/>
      <c r="V428" s="61"/>
      <c r="W428" s="62">
        <f t="shared" si="327"/>
        <v>3095763.3</v>
      </c>
      <c r="X428" s="60" t="s">
        <v>18</v>
      </c>
      <c r="Y428" s="59">
        <v>0</v>
      </c>
      <c r="Z428" s="59">
        <v>0</v>
      </c>
      <c r="AA428" s="59">
        <v>0</v>
      </c>
      <c r="AB428" s="54">
        <f t="shared" si="328"/>
        <v>3095763.3</v>
      </c>
    </row>
    <row r="429" spans="1:28" s="31" customFormat="1" ht="52.5" customHeight="1" x14ac:dyDescent="0.35">
      <c r="A429" s="31">
        <v>2019</v>
      </c>
      <c r="B429" s="53">
        <f>IF(OR(E429=0,E429=""),"",COUNTA($E$307:E429))</f>
        <v>106</v>
      </c>
      <c r="C429" s="53" t="s">
        <v>307</v>
      </c>
      <c r="D429" s="58" t="s">
        <v>912</v>
      </c>
      <c r="E429" s="59">
        <v>1963</v>
      </c>
      <c r="F429" s="60">
        <v>2086.3000000000002</v>
      </c>
      <c r="G429" s="60">
        <v>1029.8</v>
      </c>
      <c r="H429" s="60">
        <v>0</v>
      </c>
      <c r="I429" s="60" t="s">
        <v>33</v>
      </c>
      <c r="J429" s="60"/>
      <c r="K429" s="60"/>
      <c r="L429" s="60"/>
      <c r="M429" s="60"/>
      <c r="N429" s="60"/>
      <c r="O429" s="60"/>
      <c r="P429" s="60">
        <f>1972*F429</f>
        <v>4114183.6</v>
      </c>
      <c r="Q429" s="60"/>
      <c r="R429" s="60">
        <f t="shared" si="329"/>
        <v>3999437.1</v>
      </c>
      <c r="S429" s="60"/>
      <c r="T429" s="60"/>
      <c r="U429" s="60"/>
      <c r="V429" s="61"/>
      <c r="W429" s="62">
        <f t="shared" si="327"/>
        <v>8113620.7000000002</v>
      </c>
      <c r="X429" s="60" t="s">
        <v>18</v>
      </c>
      <c r="Y429" s="59">
        <v>0</v>
      </c>
      <c r="Z429" s="59">
        <v>0</v>
      </c>
      <c r="AA429" s="59">
        <v>0</v>
      </c>
      <c r="AB429" s="54">
        <f t="shared" si="328"/>
        <v>8113620.7000000002</v>
      </c>
    </row>
    <row r="430" spans="1:28" s="31" customFormat="1" ht="52.5" customHeight="1" x14ac:dyDescent="0.35">
      <c r="A430" s="31">
        <v>2019</v>
      </c>
      <c r="B430" s="53">
        <f>IF(OR(E430=0,E430=""),"",COUNTA($E$307:E430))</f>
        <v>107</v>
      </c>
      <c r="C430" s="53" t="s">
        <v>391</v>
      </c>
      <c r="D430" s="58" t="s">
        <v>913</v>
      </c>
      <c r="E430" s="59">
        <v>1962</v>
      </c>
      <c r="F430" s="60">
        <v>1784</v>
      </c>
      <c r="G430" s="60">
        <v>1156.5</v>
      </c>
      <c r="H430" s="60">
        <v>197.5</v>
      </c>
      <c r="I430" s="60" t="s">
        <v>36</v>
      </c>
      <c r="J430" s="60"/>
      <c r="K430" s="60"/>
      <c r="L430" s="60"/>
      <c r="M430" s="60"/>
      <c r="N430" s="60"/>
      <c r="O430" s="60"/>
      <c r="P430" s="60">
        <f>1972*F430</f>
        <v>3518048</v>
      </c>
      <c r="Q430" s="60"/>
      <c r="R430" s="60">
        <f t="shared" si="329"/>
        <v>3419928</v>
      </c>
      <c r="S430" s="60"/>
      <c r="T430" s="60"/>
      <c r="U430" s="60">
        <f>97*F430</f>
        <v>173048</v>
      </c>
      <c r="V430" s="61"/>
      <c r="W430" s="62">
        <f t="shared" si="327"/>
        <v>7111024</v>
      </c>
      <c r="X430" s="60" t="s">
        <v>18</v>
      </c>
      <c r="Y430" s="59">
        <v>0</v>
      </c>
      <c r="Z430" s="59">
        <v>0</v>
      </c>
      <c r="AA430" s="59">
        <v>0</v>
      </c>
      <c r="AB430" s="54">
        <f t="shared" si="328"/>
        <v>7111024</v>
      </c>
    </row>
    <row r="431" spans="1:28" s="31" customFormat="1" ht="52.5" customHeight="1" x14ac:dyDescent="0.35">
      <c r="A431" s="31">
        <v>2019</v>
      </c>
      <c r="B431" s="53">
        <f>IF(OR(E431=0,E431=""),"",COUNTA($E$307:E431))</f>
        <v>108</v>
      </c>
      <c r="C431" s="53" t="s">
        <v>419</v>
      </c>
      <c r="D431" s="58" t="s">
        <v>914</v>
      </c>
      <c r="E431" s="59">
        <v>1961</v>
      </c>
      <c r="F431" s="60">
        <v>1300</v>
      </c>
      <c r="G431" s="60">
        <v>1119.2</v>
      </c>
      <c r="H431" s="60">
        <v>511.6</v>
      </c>
      <c r="I431" s="60" t="s">
        <v>34</v>
      </c>
      <c r="J431" s="60"/>
      <c r="K431" s="60"/>
      <c r="L431" s="60"/>
      <c r="M431" s="60"/>
      <c r="N431" s="60"/>
      <c r="O431" s="60"/>
      <c r="P431" s="60">
        <f>1919*F431</f>
        <v>2494700</v>
      </c>
      <c r="Q431" s="60"/>
      <c r="R431" s="60">
        <f>1853*F431</f>
        <v>2408900</v>
      </c>
      <c r="S431" s="60"/>
      <c r="T431" s="60"/>
      <c r="U431" s="60">
        <f>119*F431</f>
        <v>154700</v>
      </c>
      <c r="V431" s="60"/>
      <c r="W431" s="62">
        <f t="shared" si="327"/>
        <v>5058300</v>
      </c>
      <c r="X431" s="60" t="s">
        <v>18</v>
      </c>
      <c r="Y431" s="59">
        <v>0</v>
      </c>
      <c r="Z431" s="59">
        <v>0</v>
      </c>
      <c r="AA431" s="59">
        <v>0</v>
      </c>
      <c r="AB431" s="54">
        <f t="shared" si="328"/>
        <v>5058300</v>
      </c>
    </row>
    <row r="432" spans="1:28" s="31" customFormat="1" ht="52.5" customHeight="1" x14ac:dyDescent="0.35">
      <c r="A432" s="31">
        <v>2019</v>
      </c>
      <c r="B432" s="53">
        <f>IF(OR(E432=0,E432=""),"",COUNTA($E$307:E432))</f>
        <v>109</v>
      </c>
      <c r="C432" s="53" t="s">
        <v>442</v>
      </c>
      <c r="D432" s="58" t="s">
        <v>915</v>
      </c>
      <c r="E432" s="59">
        <v>1963</v>
      </c>
      <c r="F432" s="60">
        <v>1729</v>
      </c>
      <c r="G432" s="60">
        <v>1609</v>
      </c>
      <c r="H432" s="60">
        <v>0</v>
      </c>
      <c r="I432" s="60" t="s">
        <v>33</v>
      </c>
      <c r="J432" s="60"/>
      <c r="K432" s="60"/>
      <c r="L432" s="60"/>
      <c r="M432" s="60"/>
      <c r="N432" s="60"/>
      <c r="O432" s="60"/>
      <c r="P432" s="60">
        <f>1972*F432</f>
        <v>3409588</v>
      </c>
      <c r="Q432" s="60"/>
      <c r="R432" s="60">
        <f>1917*F432</f>
        <v>3314493</v>
      </c>
      <c r="S432" s="60"/>
      <c r="T432" s="60"/>
      <c r="U432" s="60">
        <f>97*F432</f>
        <v>167713</v>
      </c>
      <c r="V432" s="61"/>
      <c r="W432" s="62">
        <f t="shared" si="327"/>
        <v>6891794</v>
      </c>
      <c r="X432" s="60" t="s">
        <v>18</v>
      </c>
      <c r="Y432" s="59">
        <v>0</v>
      </c>
      <c r="Z432" s="59">
        <v>0</v>
      </c>
      <c r="AA432" s="59">
        <v>0</v>
      </c>
      <c r="AB432" s="54">
        <f t="shared" si="328"/>
        <v>6891794</v>
      </c>
    </row>
    <row r="433" spans="1:39" s="38" customFormat="1" ht="52.5" customHeight="1" x14ac:dyDescent="0.35">
      <c r="A433" s="31">
        <v>2019</v>
      </c>
      <c r="B433" s="53">
        <f>IF(OR(E433=0,E433=""),"",COUNTA($E$307:E433))</f>
        <v>110</v>
      </c>
      <c r="C433" s="53" t="s">
        <v>308</v>
      </c>
      <c r="D433" s="58" t="s">
        <v>916</v>
      </c>
      <c r="E433" s="59">
        <v>1986</v>
      </c>
      <c r="F433" s="60">
        <v>8674</v>
      </c>
      <c r="G433" s="60">
        <v>6961.6</v>
      </c>
      <c r="H433" s="60">
        <v>0</v>
      </c>
      <c r="I433" s="60" t="s">
        <v>31</v>
      </c>
      <c r="J433" s="60"/>
      <c r="K433" s="60"/>
      <c r="L433" s="60"/>
      <c r="M433" s="60"/>
      <c r="N433" s="60"/>
      <c r="O433" s="60">
        <f>2150000*4</f>
        <v>8600000</v>
      </c>
      <c r="P433" s="60"/>
      <c r="Q433" s="60"/>
      <c r="R433" s="60"/>
      <c r="S433" s="60"/>
      <c r="T433" s="60"/>
      <c r="U433" s="60">
        <f t="shared" ref="U433:U440" si="331">22*F433</f>
        <v>190828</v>
      </c>
      <c r="V433" s="60"/>
      <c r="W433" s="62">
        <f t="shared" si="327"/>
        <v>8790828</v>
      </c>
      <c r="X433" s="60" t="s">
        <v>18</v>
      </c>
      <c r="Y433" s="59">
        <v>0</v>
      </c>
      <c r="Z433" s="59">
        <v>0</v>
      </c>
      <c r="AA433" s="59">
        <v>0</v>
      </c>
      <c r="AB433" s="54">
        <f t="shared" si="328"/>
        <v>8790828</v>
      </c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</row>
    <row r="434" spans="1:39" s="38" customFormat="1" ht="52.5" customHeight="1" x14ac:dyDescent="0.35">
      <c r="A434" s="31">
        <v>2019</v>
      </c>
      <c r="B434" s="53">
        <f>IF(OR(E434=0,E434=""),"",COUNTA($E$307:E434))</f>
        <v>111</v>
      </c>
      <c r="C434" s="53" t="s">
        <v>389</v>
      </c>
      <c r="D434" s="58" t="s">
        <v>917</v>
      </c>
      <c r="E434" s="59">
        <v>1986</v>
      </c>
      <c r="F434" s="60">
        <v>8867.1</v>
      </c>
      <c r="G434" s="60">
        <v>7599.6</v>
      </c>
      <c r="H434" s="60">
        <v>1267.5</v>
      </c>
      <c r="I434" s="60" t="s">
        <v>31</v>
      </c>
      <c r="J434" s="60"/>
      <c r="K434" s="60"/>
      <c r="L434" s="60"/>
      <c r="M434" s="60"/>
      <c r="N434" s="60"/>
      <c r="O434" s="60">
        <f>2150000*4</f>
        <v>8600000</v>
      </c>
      <c r="P434" s="60"/>
      <c r="Q434" s="60"/>
      <c r="R434" s="60"/>
      <c r="S434" s="60"/>
      <c r="T434" s="60"/>
      <c r="U434" s="60">
        <f t="shared" si="331"/>
        <v>195076.2</v>
      </c>
      <c r="V434" s="60"/>
      <c r="W434" s="62">
        <f t="shared" si="327"/>
        <v>8795076.1999999993</v>
      </c>
      <c r="X434" s="60" t="s">
        <v>18</v>
      </c>
      <c r="Y434" s="59">
        <v>0</v>
      </c>
      <c r="Z434" s="59">
        <v>0</v>
      </c>
      <c r="AA434" s="59">
        <v>0</v>
      </c>
      <c r="AB434" s="54">
        <f t="shared" si="328"/>
        <v>8795076.1999999993</v>
      </c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</row>
    <row r="435" spans="1:39" s="38" customFormat="1" ht="52.5" customHeight="1" x14ac:dyDescent="0.35">
      <c r="A435" s="31">
        <v>2019</v>
      </c>
      <c r="B435" s="53">
        <f>IF(OR(E435=0,E435=""),"",COUNTA($E$307:E435))</f>
        <v>112</v>
      </c>
      <c r="C435" s="53" t="s">
        <v>273</v>
      </c>
      <c r="D435" s="58" t="s">
        <v>918</v>
      </c>
      <c r="E435" s="59">
        <v>1988</v>
      </c>
      <c r="F435" s="60">
        <v>8599.7000000000007</v>
      </c>
      <c r="G435" s="60">
        <v>7564.6</v>
      </c>
      <c r="H435" s="60">
        <v>0</v>
      </c>
      <c r="I435" s="60" t="s">
        <v>31</v>
      </c>
      <c r="J435" s="60"/>
      <c r="K435" s="60"/>
      <c r="L435" s="60"/>
      <c r="M435" s="60"/>
      <c r="N435" s="60"/>
      <c r="O435" s="60">
        <f>2150000*4</f>
        <v>8600000</v>
      </c>
      <c r="P435" s="60"/>
      <c r="Q435" s="60"/>
      <c r="R435" s="60"/>
      <c r="S435" s="60"/>
      <c r="T435" s="60"/>
      <c r="U435" s="60">
        <f t="shared" si="331"/>
        <v>189193.4</v>
      </c>
      <c r="V435" s="60"/>
      <c r="W435" s="62">
        <f t="shared" si="327"/>
        <v>8789193.4000000004</v>
      </c>
      <c r="X435" s="60" t="s">
        <v>18</v>
      </c>
      <c r="Y435" s="59">
        <v>0</v>
      </c>
      <c r="Z435" s="59">
        <v>0</v>
      </c>
      <c r="AA435" s="59">
        <v>0</v>
      </c>
      <c r="AB435" s="54">
        <f t="shared" si="328"/>
        <v>8789193.4000000004</v>
      </c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</row>
    <row r="436" spans="1:39" s="38" customFormat="1" ht="52.5" customHeight="1" x14ac:dyDescent="0.35">
      <c r="A436" s="31">
        <v>2019</v>
      </c>
      <c r="B436" s="53">
        <f>IF(OR(E436=0,E436=""),"",COUNTA($E$307:E436))</f>
        <v>113</v>
      </c>
      <c r="C436" s="53" t="s">
        <v>293</v>
      </c>
      <c r="D436" s="58" t="s">
        <v>919</v>
      </c>
      <c r="E436" s="59">
        <v>1987</v>
      </c>
      <c r="F436" s="60">
        <v>27209.599999999999</v>
      </c>
      <c r="G436" s="60">
        <v>21148.5</v>
      </c>
      <c r="H436" s="60">
        <v>35.299999999999997</v>
      </c>
      <c r="I436" s="60" t="s">
        <v>31</v>
      </c>
      <c r="J436" s="60"/>
      <c r="K436" s="60"/>
      <c r="L436" s="60"/>
      <c r="M436" s="60"/>
      <c r="N436" s="60"/>
      <c r="O436" s="60">
        <f>2150000*11</f>
        <v>23650000</v>
      </c>
      <c r="P436" s="60"/>
      <c r="Q436" s="60"/>
      <c r="R436" s="60"/>
      <c r="S436" s="60"/>
      <c r="T436" s="60"/>
      <c r="U436" s="60">
        <f t="shared" si="331"/>
        <v>598611.19999999995</v>
      </c>
      <c r="V436" s="60"/>
      <c r="W436" s="62">
        <f t="shared" si="327"/>
        <v>24248611.199999999</v>
      </c>
      <c r="X436" s="60" t="s">
        <v>18</v>
      </c>
      <c r="Y436" s="59">
        <v>0</v>
      </c>
      <c r="Z436" s="59">
        <v>0</v>
      </c>
      <c r="AA436" s="59">
        <v>0</v>
      </c>
      <c r="AB436" s="54">
        <f t="shared" si="328"/>
        <v>24248611.199999999</v>
      </c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</row>
    <row r="437" spans="1:39" s="38" customFormat="1" ht="52.5" customHeight="1" x14ac:dyDescent="0.35">
      <c r="A437" s="31">
        <v>2019</v>
      </c>
      <c r="B437" s="53">
        <f>IF(OR(E437=0,E437=""),"",COUNTA($E$307:E437))</f>
        <v>114</v>
      </c>
      <c r="C437" s="53" t="s">
        <v>203</v>
      </c>
      <c r="D437" s="58" t="s">
        <v>920</v>
      </c>
      <c r="E437" s="59">
        <v>1983</v>
      </c>
      <c r="F437" s="60">
        <v>23038.5</v>
      </c>
      <c r="G437" s="60">
        <v>14155.6</v>
      </c>
      <c r="H437" s="60">
        <v>0</v>
      </c>
      <c r="I437" s="60" t="s">
        <v>31</v>
      </c>
      <c r="J437" s="60"/>
      <c r="K437" s="60"/>
      <c r="L437" s="60"/>
      <c r="M437" s="60"/>
      <c r="N437" s="60"/>
      <c r="O437" s="60">
        <f>2150000*12</f>
        <v>25800000</v>
      </c>
      <c r="P437" s="60"/>
      <c r="Q437" s="60"/>
      <c r="R437" s="60"/>
      <c r="S437" s="60"/>
      <c r="T437" s="60"/>
      <c r="U437" s="60">
        <f t="shared" si="331"/>
        <v>506847</v>
      </c>
      <c r="V437" s="60"/>
      <c r="W437" s="62">
        <f t="shared" si="327"/>
        <v>26306847</v>
      </c>
      <c r="X437" s="60" t="s">
        <v>18</v>
      </c>
      <c r="Y437" s="59">
        <v>0</v>
      </c>
      <c r="Z437" s="59">
        <v>0</v>
      </c>
      <c r="AA437" s="59">
        <v>0</v>
      </c>
      <c r="AB437" s="54">
        <f t="shared" si="328"/>
        <v>26306847</v>
      </c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</row>
    <row r="438" spans="1:39" s="38" customFormat="1" ht="52.5" customHeight="1" x14ac:dyDescent="0.35">
      <c r="A438" s="31">
        <v>2019</v>
      </c>
      <c r="B438" s="53">
        <f>IF(OR(E438=0,E438=""),"",COUNTA($E$307:E438))</f>
        <v>115</v>
      </c>
      <c r="C438" s="53" t="s">
        <v>215</v>
      </c>
      <c r="D438" s="58" t="s">
        <v>921</v>
      </c>
      <c r="E438" s="59">
        <v>1983</v>
      </c>
      <c r="F438" s="60">
        <v>5881.55</v>
      </c>
      <c r="G438" s="60">
        <v>3843.25</v>
      </c>
      <c r="H438" s="60">
        <v>1869.5</v>
      </c>
      <c r="I438" s="60" t="s">
        <v>31</v>
      </c>
      <c r="J438" s="60"/>
      <c r="K438" s="60"/>
      <c r="L438" s="60"/>
      <c r="M438" s="60"/>
      <c r="N438" s="60"/>
      <c r="O438" s="60">
        <f>2150000*2</f>
        <v>4300000</v>
      </c>
      <c r="P438" s="60"/>
      <c r="Q438" s="60"/>
      <c r="R438" s="60"/>
      <c r="S438" s="60"/>
      <c r="T438" s="60"/>
      <c r="U438" s="60">
        <f t="shared" si="331"/>
        <v>129394.1</v>
      </c>
      <c r="V438" s="60"/>
      <c r="W438" s="62">
        <f t="shared" si="327"/>
        <v>4429394.0999999996</v>
      </c>
      <c r="X438" s="63" t="s">
        <v>18</v>
      </c>
      <c r="Y438" s="63">
        <v>0</v>
      </c>
      <c r="Z438" s="63">
        <v>0</v>
      </c>
      <c r="AA438" s="63">
        <v>0</v>
      </c>
      <c r="AB438" s="56">
        <f t="shared" si="328"/>
        <v>4429394.0999999996</v>
      </c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</row>
    <row r="439" spans="1:39" s="38" customFormat="1" ht="52.5" customHeight="1" x14ac:dyDescent="0.35">
      <c r="A439" s="31">
        <v>2019</v>
      </c>
      <c r="B439" s="53">
        <f>IF(OR(E439=0,E439=""),"",COUNTA($E$307:E439))</f>
        <v>116</v>
      </c>
      <c r="C439" s="53" t="s">
        <v>301</v>
      </c>
      <c r="D439" s="58" t="s">
        <v>922</v>
      </c>
      <c r="E439" s="59">
        <v>1971</v>
      </c>
      <c r="F439" s="60">
        <v>12802.4</v>
      </c>
      <c r="G439" s="60">
        <v>9016.5</v>
      </c>
      <c r="H439" s="60">
        <v>2432.1</v>
      </c>
      <c r="I439" s="60" t="s">
        <v>31</v>
      </c>
      <c r="J439" s="60"/>
      <c r="K439" s="60"/>
      <c r="L439" s="60"/>
      <c r="M439" s="60"/>
      <c r="N439" s="60"/>
      <c r="O439" s="60">
        <f>2150000*4</f>
        <v>8600000</v>
      </c>
      <c r="P439" s="60"/>
      <c r="Q439" s="60"/>
      <c r="R439" s="60"/>
      <c r="S439" s="60"/>
      <c r="T439" s="60"/>
      <c r="U439" s="60">
        <f t="shared" si="331"/>
        <v>281652.8</v>
      </c>
      <c r="V439" s="60"/>
      <c r="W439" s="62">
        <f t="shared" si="327"/>
        <v>8881652.8000000007</v>
      </c>
      <c r="X439" s="60" t="s">
        <v>18</v>
      </c>
      <c r="Y439" s="59">
        <v>0</v>
      </c>
      <c r="Z439" s="59">
        <v>0</v>
      </c>
      <c r="AA439" s="59">
        <v>0</v>
      </c>
      <c r="AB439" s="54">
        <f t="shared" si="328"/>
        <v>8881652.8000000007</v>
      </c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</row>
    <row r="440" spans="1:39" s="38" customFormat="1" ht="52.5" customHeight="1" x14ac:dyDescent="0.35">
      <c r="A440" s="31">
        <v>2019</v>
      </c>
      <c r="B440" s="53">
        <f>IF(OR(E440=0,E440=""),"",COUNTA($E$307:E440))</f>
        <v>117</v>
      </c>
      <c r="C440" s="53" t="s">
        <v>204</v>
      </c>
      <c r="D440" s="58" t="s">
        <v>923</v>
      </c>
      <c r="E440" s="59">
        <v>1983</v>
      </c>
      <c r="F440" s="60">
        <v>14561.1</v>
      </c>
      <c r="G440" s="60">
        <v>8301.2000000000007</v>
      </c>
      <c r="H440" s="60">
        <v>0</v>
      </c>
      <c r="I440" s="60" t="s">
        <v>31</v>
      </c>
      <c r="J440" s="60"/>
      <c r="K440" s="60"/>
      <c r="L440" s="60"/>
      <c r="M440" s="60"/>
      <c r="N440" s="60"/>
      <c r="O440" s="60">
        <f>2150000*7</f>
        <v>15050000</v>
      </c>
      <c r="P440" s="60"/>
      <c r="Q440" s="60"/>
      <c r="R440" s="60"/>
      <c r="S440" s="60"/>
      <c r="T440" s="60"/>
      <c r="U440" s="60">
        <f t="shared" si="331"/>
        <v>320344.2</v>
      </c>
      <c r="V440" s="60"/>
      <c r="W440" s="62">
        <f t="shared" si="327"/>
        <v>15370344.199999999</v>
      </c>
      <c r="X440" s="60" t="s">
        <v>18</v>
      </c>
      <c r="Y440" s="59">
        <v>0</v>
      </c>
      <c r="Z440" s="59">
        <v>0</v>
      </c>
      <c r="AA440" s="59">
        <v>0</v>
      </c>
      <c r="AB440" s="54">
        <f t="shared" si="328"/>
        <v>15370344.199999999</v>
      </c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</row>
    <row r="441" spans="1:39" s="31" customFormat="1" ht="52.5" customHeight="1" x14ac:dyDescent="0.35">
      <c r="A441" s="31">
        <v>2019</v>
      </c>
      <c r="B441" s="53">
        <f>IF(OR(E441=0,E441=""),"",COUNTA($E$307:E441))</f>
        <v>118</v>
      </c>
      <c r="C441" s="53" t="s">
        <v>289</v>
      </c>
      <c r="D441" s="58" t="s">
        <v>924</v>
      </c>
      <c r="E441" s="58">
        <v>1964</v>
      </c>
      <c r="F441" s="60">
        <v>3498.7</v>
      </c>
      <c r="G441" s="60">
        <v>2669.4</v>
      </c>
      <c r="H441" s="60">
        <v>74.7</v>
      </c>
      <c r="I441" s="60" t="s">
        <v>33</v>
      </c>
      <c r="J441" s="60"/>
      <c r="K441" s="60"/>
      <c r="L441" s="60"/>
      <c r="M441" s="60"/>
      <c r="N441" s="60"/>
      <c r="O441" s="60"/>
      <c r="P441" s="60">
        <f t="shared" ref="P441:P481" si="332">1972*F441</f>
        <v>6899436.4000000004</v>
      </c>
      <c r="Q441" s="60"/>
      <c r="R441" s="60">
        <f t="shared" ref="R441:R481" si="333">1917*F441</f>
        <v>6707007.9000000004</v>
      </c>
      <c r="S441" s="60"/>
      <c r="T441" s="60"/>
      <c r="U441" s="60">
        <f t="shared" ref="U441:U481" si="334">97*F441</f>
        <v>339373.9</v>
      </c>
      <c r="V441" s="61"/>
      <c r="W441" s="62">
        <f t="shared" si="327"/>
        <v>13945818.199999999</v>
      </c>
      <c r="X441" s="60" t="s">
        <v>18</v>
      </c>
      <c r="Y441" s="59">
        <v>0</v>
      </c>
      <c r="Z441" s="59">
        <v>0</v>
      </c>
      <c r="AA441" s="59">
        <v>0</v>
      </c>
      <c r="AB441" s="54">
        <f t="shared" si="328"/>
        <v>13945818.199999999</v>
      </c>
    </row>
    <row r="442" spans="1:39" s="31" customFormat="1" ht="52.5" customHeight="1" x14ac:dyDescent="0.35">
      <c r="A442" s="31">
        <v>2019</v>
      </c>
      <c r="B442" s="53">
        <f>IF(OR(E442=0,E442=""),"",COUNTA($E$307:E442))</f>
        <v>119</v>
      </c>
      <c r="C442" s="53" t="s">
        <v>244</v>
      </c>
      <c r="D442" s="87" t="s">
        <v>925</v>
      </c>
      <c r="E442" s="59">
        <v>1965</v>
      </c>
      <c r="F442" s="60">
        <v>2691.2</v>
      </c>
      <c r="G442" s="60">
        <v>1953.2</v>
      </c>
      <c r="H442" s="60">
        <v>738</v>
      </c>
      <c r="I442" s="60" t="s">
        <v>36</v>
      </c>
      <c r="J442" s="60"/>
      <c r="K442" s="60"/>
      <c r="L442" s="60"/>
      <c r="M442" s="60"/>
      <c r="N442" s="60"/>
      <c r="O442" s="60"/>
      <c r="P442" s="60">
        <f t="shared" si="332"/>
        <v>5307046.4000000004</v>
      </c>
      <c r="Q442" s="60"/>
      <c r="R442" s="60">
        <f t="shared" si="333"/>
        <v>5159030.4000000004</v>
      </c>
      <c r="S442" s="60"/>
      <c r="T442" s="60"/>
      <c r="U442" s="60"/>
      <c r="V442" s="61"/>
      <c r="W442" s="62">
        <f t="shared" si="327"/>
        <v>10466076.800000001</v>
      </c>
      <c r="X442" s="60" t="s">
        <v>18</v>
      </c>
      <c r="Y442" s="59">
        <v>0</v>
      </c>
      <c r="Z442" s="59">
        <v>0</v>
      </c>
      <c r="AA442" s="59">
        <v>0</v>
      </c>
      <c r="AB442" s="54">
        <f t="shared" si="328"/>
        <v>10466076.800000001</v>
      </c>
    </row>
    <row r="443" spans="1:39" s="31" customFormat="1" ht="52.5" customHeight="1" x14ac:dyDescent="0.35">
      <c r="A443" s="31">
        <v>2019</v>
      </c>
      <c r="B443" s="53">
        <f>IF(OR(E443=0,E443=""),"",COUNTA($E$307:E443))</f>
        <v>120</v>
      </c>
      <c r="C443" s="53" t="s">
        <v>192</v>
      </c>
      <c r="D443" s="58" t="s">
        <v>926</v>
      </c>
      <c r="E443" s="59">
        <v>1964</v>
      </c>
      <c r="F443" s="60">
        <v>2417.3000000000002</v>
      </c>
      <c r="G443" s="60">
        <v>1517.8</v>
      </c>
      <c r="H443" s="60">
        <v>899.5</v>
      </c>
      <c r="I443" s="60" t="s">
        <v>36</v>
      </c>
      <c r="J443" s="60"/>
      <c r="K443" s="60"/>
      <c r="L443" s="60"/>
      <c r="M443" s="60"/>
      <c r="N443" s="60"/>
      <c r="O443" s="60"/>
      <c r="P443" s="60">
        <f t="shared" si="332"/>
        <v>4766915.5999999996</v>
      </c>
      <c r="Q443" s="60"/>
      <c r="R443" s="60">
        <f t="shared" si="333"/>
        <v>4633964.0999999996</v>
      </c>
      <c r="S443" s="60"/>
      <c r="T443" s="60"/>
      <c r="U443" s="60">
        <f t="shared" si="334"/>
        <v>234478.1</v>
      </c>
      <c r="V443" s="61"/>
      <c r="W443" s="62">
        <f t="shared" si="327"/>
        <v>9635357.8000000007</v>
      </c>
      <c r="X443" s="60" t="s">
        <v>18</v>
      </c>
      <c r="Y443" s="59">
        <v>0</v>
      </c>
      <c r="Z443" s="59">
        <v>0</v>
      </c>
      <c r="AA443" s="59">
        <v>0</v>
      </c>
      <c r="AB443" s="54">
        <f t="shared" si="328"/>
        <v>9635357.8000000007</v>
      </c>
    </row>
    <row r="444" spans="1:39" s="31" customFormat="1" ht="52.5" customHeight="1" x14ac:dyDescent="0.35">
      <c r="A444" s="31">
        <v>2019</v>
      </c>
      <c r="B444" s="53">
        <f>IF(OR(E444=0,E444=""),"",COUNTA($E$307:E444))</f>
        <v>121</v>
      </c>
      <c r="C444" s="53" t="s">
        <v>207</v>
      </c>
      <c r="D444" s="58" t="s">
        <v>927</v>
      </c>
      <c r="E444" s="59">
        <v>1965</v>
      </c>
      <c r="F444" s="60">
        <v>3541.8</v>
      </c>
      <c r="G444" s="60">
        <v>2507.8000000000002</v>
      </c>
      <c r="H444" s="60">
        <v>743.2</v>
      </c>
      <c r="I444" s="60" t="s">
        <v>33</v>
      </c>
      <c r="J444" s="60"/>
      <c r="K444" s="60"/>
      <c r="L444" s="60"/>
      <c r="M444" s="60"/>
      <c r="N444" s="60"/>
      <c r="O444" s="60"/>
      <c r="P444" s="60">
        <f t="shared" si="332"/>
        <v>6984429.5999999996</v>
      </c>
      <c r="Q444" s="60"/>
      <c r="R444" s="60">
        <f t="shared" si="333"/>
        <v>6789630.5999999996</v>
      </c>
      <c r="S444" s="60"/>
      <c r="T444" s="60"/>
      <c r="U444" s="60"/>
      <c r="V444" s="61"/>
      <c r="W444" s="62">
        <f t="shared" si="327"/>
        <v>13774060.199999999</v>
      </c>
      <c r="X444" s="60" t="s">
        <v>18</v>
      </c>
      <c r="Y444" s="59">
        <v>0</v>
      </c>
      <c r="Z444" s="59">
        <v>0</v>
      </c>
      <c r="AA444" s="59">
        <v>0</v>
      </c>
      <c r="AB444" s="54">
        <f t="shared" si="328"/>
        <v>13774060.199999999</v>
      </c>
    </row>
    <row r="445" spans="1:39" s="31" customFormat="1" ht="52.5" customHeight="1" x14ac:dyDescent="0.35">
      <c r="A445" s="31">
        <v>2019</v>
      </c>
      <c r="B445" s="53">
        <f>IF(OR(E445=0,E445=""),"",COUNTA($E$307:E445))</f>
        <v>122</v>
      </c>
      <c r="C445" s="53" t="s">
        <v>208</v>
      </c>
      <c r="D445" s="58" t="s">
        <v>928</v>
      </c>
      <c r="E445" s="59">
        <v>1965</v>
      </c>
      <c r="F445" s="60">
        <v>3855.8</v>
      </c>
      <c r="G445" s="60">
        <v>3102.2</v>
      </c>
      <c r="H445" s="60">
        <v>753.6</v>
      </c>
      <c r="I445" s="60" t="s">
        <v>33</v>
      </c>
      <c r="J445" s="60"/>
      <c r="K445" s="60"/>
      <c r="L445" s="60"/>
      <c r="M445" s="60"/>
      <c r="N445" s="60"/>
      <c r="O445" s="60"/>
      <c r="P445" s="60">
        <f t="shared" si="332"/>
        <v>7603637.5999999996</v>
      </c>
      <c r="Q445" s="60"/>
      <c r="R445" s="60">
        <f t="shared" si="333"/>
        <v>7391568.5999999996</v>
      </c>
      <c r="S445" s="60"/>
      <c r="T445" s="60"/>
      <c r="U445" s="60">
        <f t="shared" si="334"/>
        <v>374012.6</v>
      </c>
      <c r="V445" s="61"/>
      <c r="W445" s="62">
        <f t="shared" si="327"/>
        <v>15369218.800000001</v>
      </c>
      <c r="X445" s="60" t="s">
        <v>18</v>
      </c>
      <c r="Y445" s="59">
        <v>0</v>
      </c>
      <c r="Z445" s="59">
        <v>0</v>
      </c>
      <c r="AA445" s="59">
        <v>0</v>
      </c>
      <c r="AB445" s="54">
        <f t="shared" si="328"/>
        <v>15369218.800000001</v>
      </c>
    </row>
    <row r="446" spans="1:39" s="31" customFormat="1" ht="52.5" customHeight="1" x14ac:dyDescent="0.35">
      <c r="A446" s="31">
        <v>2019</v>
      </c>
      <c r="B446" s="53">
        <f>IF(OR(E446=0,E446=""),"",COUNTA($E$307:E446))</f>
        <v>123</v>
      </c>
      <c r="C446" s="53" t="s">
        <v>209</v>
      </c>
      <c r="D446" s="58" t="s">
        <v>929</v>
      </c>
      <c r="E446" s="59">
        <v>1965</v>
      </c>
      <c r="F446" s="60">
        <v>3864.6</v>
      </c>
      <c r="G446" s="60">
        <v>3111</v>
      </c>
      <c r="H446" s="60">
        <v>753.6</v>
      </c>
      <c r="I446" s="60" t="s">
        <v>33</v>
      </c>
      <c r="J446" s="60"/>
      <c r="K446" s="60"/>
      <c r="L446" s="60"/>
      <c r="M446" s="60"/>
      <c r="N446" s="60"/>
      <c r="O446" s="60"/>
      <c r="P446" s="60">
        <f t="shared" si="332"/>
        <v>7620991.2000000002</v>
      </c>
      <c r="Q446" s="60"/>
      <c r="R446" s="60">
        <f t="shared" si="333"/>
        <v>7408438.2000000002</v>
      </c>
      <c r="S446" s="60"/>
      <c r="T446" s="60"/>
      <c r="U446" s="60">
        <f t="shared" si="334"/>
        <v>374866.2</v>
      </c>
      <c r="V446" s="61"/>
      <c r="W446" s="62">
        <f t="shared" si="327"/>
        <v>15404295.6</v>
      </c>
      <c r="X446" s="60" t="s">
        <v>18</v>
      </c>
      <c r="Y446" s="59">
        <v>0</v>
      </c>
      <c r="Z446" s="59">
        <v>0</v>
      </c>
      <c r="AA446" s="59">
        <v>0</v>
      </c>
      <c r="AB446" s="54">
        <f t="shared" si="328"/>
        <v>15404295.6</v>
      </c>
    </row>
    <row r="447" spans="1:39" s="31" customFormat="1" ht="52.5" customHeight="1" x14ac:dyDescent="0.35">
      <c r="A447" s="31">
        <v>2019</v>
      </c>
      <c r="B447" s="53">
        <f>IF(OR(E447=0,E447=""),"",COUNTA($E$307:E447))</f>
        <v>124</v>
      </c>
      <c r="C447" s="53" t="s">
        <v>370</v>
      </c>
      <c r="D447" s="58" t="s">
        <v>930</v>
      </c>
      <c r="E447" s="59">
        <v>1964</v>
      </c>
      <c r="F447" s="60">
        <v>1984.7</v>
      </c>
      <c r="G447" s="60">
        <v>1390.2</v>
      </c>
      <c r="H447" s="60">
        <v>260.89999999999998</v>
      </c>
      <c r="I447" s="60" t="s">
        <v>33</v>
      </c>
      <c r="J447" s="60"/>
      <c r="K447" s="60"/>
      <c r="L447" s="60"/>
      <c r="M447" s="60"/>
      <c r="N447" s="60"/>
      <c r="O447" s="60"/>
      <c r="P447" s="60">
        <f t="shared" si="332"/>
        <v>3913828.4</v>
      </c>
      <c r="Q447" s="60"/>
      <c r="R447" s="60">
        <f t="shared" si="333"/>
        <v>3804669.9</v>
      </c>
      <c r="S447" s="60"/>
      <c r="T447" s="60"/>
      <c r="U447" s="60"/>
      <c r="V447" s="61"/>
      <c r="W447" s="62">
        <f t="shared" si="327"/>
        <v>7718498.2999999998</v>
      </c>
      <c r="X447" s="60" t="s">
        <v>18</v>
      </c>
      <c r="Y447" s="59">
        <v>0</v>
      </c>
      <c r="Z447" s="59">
        <v>0</v>
      </c>
      <c r="AA447" s="59">
        <v>0</v>
      </c>
      <c r="AB447" s="54">
        <f t="shared" si="328"/>
        <v>7718498.2999999998</v>
      </c>
    </row>
    <row r="448" spans="1:39" s="31" customFormat="1" ht="52.5" customHeight="1" x14ac:dyDescent="0.35">
      <c r="A448" s="31">
        <v>2019</v>
      </c>
      <c r="B448" s="53">
        <f>IF(OR(E448=0,E448=""),"",COUNTA($E$307:E448))</f>
        <v>125</v>
      </c>
      <c r="C448" s="53" t="s">
        <v>227</v>
      </c>
      <c r="D448" s="58" t="s">
        <v>931</v>
      </c>
      <c r="E448" s="59">
        <v>1963</v>
      </c>
      <c r="F448" s="60">
        <v>3060.51</v>
      </c>
      <c r="G448" s="60">
        <v>2127.91</v>
      </c>
      <c r="H448" s="60">
        <v>405.4</v>
      </c>
      <c r="I448" s="60" t="s">
        <v>36</v>
      </c>
      <c r="J448" s="60"/>
      <c r="K448" s="60"/>
      <c r="L448" s="60"/>
      <c r="M448" s="60"/>
      <c r="N448" s="60"/>
      <c r="O448" s="60"/>
      <c r="P448" s="60">
        <f t="shared" si="332"/>
        <v>6035325.7199999997</v>
      </c>
      <c r="Q448" s="60"/>
      <c r="R448" s="60">
        <f t="shared" si="333"/>
        <v>5866997.6699999999</v>
      </c>
      <c r="S448" s="60"/>
      <c r="T448" s="60"/>
      <c r="U448" s="60">
        <f t="shared" si="334"/>
        <v>296869.46999999997</v>
      </c>
      <c r="V448" s="61"/>
      <c r="W448" s="62">
        <f t="shared" si="327"/>
        <v>12199192.859999999</v>
      </c>
      <c r="X448" s="60" t="s">
        <v>18</v>
      </c>
      <c r="Y448" s="59">
        <v>0</v>
      </c>
      <c r="Z448" s="59">
        <v>0</v>
      </c>
      <c r="AA448" s="59">
        <v>0</v>
      </c>
      <c r="AB448" s="54">
        <f t="shared" si="328"/>
        <v>12199192.859999999</v>
      </c>
    </row>
    <row r="449" spans="1:28" s="31" customFormat="1" ht="52.5" customHeight="1" x14ac:dyDescent="0.35">
      <c r="A449" s="31">
        <v>2019</v>
      </c>
      <c r="B449" s="53">
        <f>IF(OR(E449=0,E449=""),"",COUNTA($E$307:E449))</f>
        <v>126</v>
      </c>
      <c r="C449" s="53" t="s">
        <v>230</v>
      </c>
      <c r="D449" s="58" t="s">
        <v>932</v>
      </c>
      <c r="E449" s="59">
        <v>1965</v>
      </c>
      <c r="F449" s="60">
        <v>4198.8999999999996</v>
      </c>
      <c r="G449" s="60">
        <v>3125.4</v>
      </c>
      <c r="H449" s="60">
        <v>975.5</v>
      </c>
      <c r="I449" s="60" t="s">
        <v>33</v>
      </c>
      <c r="J449" s="60"/>
      <c r="K449" s="60"/>
      <c r="L449" s="60"/>
      <c r="M449" s="60"/>
      <c r="N449" s="60"/>
      <c r="O449" s="60"/>
      <c r="P449" s="60">
        <f t="shared" si="332"/>
        <v>8280230.7999999998</v>
      </c>
      <c r="Q449" s="60"/>
      <c r="R449" s="60">
        <f t="shared" si="333"/>
        <v>8049291.2999999998</v>
      </c>
      <c r="S449" s="60"/>
      <c r="T449" s="60"/>
      <c r="U449" s="60"/>
      <c r="V449" s="61"/>
      <c r="W449" s="62">
        <f t="shared" si="327"/>
        <v>16329522.1</v>
      </c>
      <c r="X449" s="60" t="s">
        <v>18</v>
      </c>
      <c r="Y449" s="59">
        <v>0</v>
      </c>
      <c r="Z449" s="59">
        <v>0</v>
      </c>
      <c r="AA449" s="59">
        <v>0</v>
      </c>
      <c r="AB449" s="54">
        <f t="shared" si="328"/>
        <v>16329522.1</v>
      </c>
    </row>
    <row r="450" spans="1:28" s="31" customFormat="1" ht="52.5" customHeight="1" x14ac:dyDescent="0.35">
      <c r="A450" s="31">
        <v>2019</v>
      </c>
      <c r="B450" s="53">
        <f>IF(OR(E450=0,E450=""),"",COUNTA($E$307:E450))</f>
        <v>127</v>
      </c>
      <c r="C450" s="53" t="s">
        <v>228</v>
      </c>
      <c r="D450" s="58" t="s">
        <v>933</v>
      </c>
      <c r="E450" s="59">
        <v>1963</v>
      </c>
      <c r="F450" s="60">
        <v>1755.5</v>
      </c>
      <c r="G450" s="60">
        <v>1253.3</v>
      </c>
      <c r="H450" s="60">
        <v>477.64</v>
      </c>
      <c r="I450" s="60" t="s">
        <v>36</v>
      </c>
      <c r="J450" s="60"/>
      <c r="K450" s="60"/>
      <c r="L450" s="60"/>
      <c r="M450" s="60"/>
      <c r="N450" s="60"/>
      <c r="O450" s="60"/>
      <c r="P450" s="60">
        <f t="shared" si="332"/>
        <v>3461846</v>
      </c>
      <c r="Q450" s="60"/>
      <c r="R450" s="60">
        <f t="shared" si="333"/>
        <v>3365293.5</v>
      </c>
      <c r="S450" s="60"/>
      <c r="T450" s="60"/>
      <c r="U450" s="60"/>
      <c r="V450" s="61"/>
      <c r="W450" s="62">
        <f t="shared" ref="W450:W479" si="335">V450+U450+T450+S450+R450+Q450+P450+O450+N450+M450+L450+K450+J450</f>
        <v>6827139.5</v>
      </c>
      <c r="X450" s="60" t="s">
        <v>18</v>
      </c>
      <c r="Y450" s="59">
        <v>0</v>
      </c>
      <c r="Z450" s="59">
        <v>0</v>
      </c>
      <c r="AA450" s="59">
        <v>0</v>
      </c>
      <c r="AB450" s="54">
        <f t="shared" ref="AB450:AB479" si="336">W450-(Y450+Z450+AA450)</f>
        <v>6827139.5</v>
      </c>
    </row>
    <row r="451" spans="1:28" s="31" customFormat="1" ht="52.5" customHeight="1" x14ac:dyDescent="0.35">
      <c r="A451" s="31">
        <v>2019</v>
      </c>
      <c r="B451" s="53">
        <f>IF(OR(E451=0,E451=""),"",COUNTA($E$307:E451))</f>
        <v>128</v>
      </c>
      <c r="C451" s="53" t="s">
        <v>229</v>
      </c>
      <c r="D451" s="58" t="s">
        <v>934</v>
      </c>
      <c r="E451" s="59">
        <v>1964</v>
      </c>
      <c r="F451" s="60">
        <v>1852.3</v>
      </c>
      <c r="G451" s="60">
        <v>1642</v>
      </c>
      <c r="H451" s="60">
        <v>121.9</v>
      </c>
      <c r="I451" s="60" t="s">
        <v>33</v>
      </c>
      <c r="J451" s="60"/>
      <c r="K451" s="60"/>
      <c r="L451" s="60"/>
      <c r="M451" s="60"/>
      <c r="N451" s="60"/>
      <c r="O451" s="60"/>
      <c r="P451" s="60">
        <f t="shared" si="332"/>
        <v>3652735.6</v>
      </c>
      <c r="Q451" s="60"/>
      <c r="R451" s="60">
        <f t="shared" si="333"/>
        <v>3550859.1</v>
      </c>
      <c r="S451" s="60"/>
      <c r="T451" s="60"/>
      <c r="U451" s="60"/>
      <c r="V451" s="61"/>
      <c r="W451" s="62">
        <f t="shared" si="335"/>
        <v>7203594.7000000002</v>
      </c>
      <c r="X451" s="60" t="s">
        <v>18</v>
      </c>
      <c r="Y451" s="59">
        <v>0</v>
      </c>
      <c r="Z451" s="59">
        <v>0</v>
      </c>
      <c r="AA451" s="59">
        <v>0</v>
      </c>
      <c r="AB451" s="54">
        <f t="shared" si="336"/>
        <v>7203594.7000000002</v>
      </c>
    </row>
    <row r="452" spans="1:28" s="31" customFormat="1" ht="52.5" customHeight="1" x14ac:dyDescent="0.35">
      <c r="A452" s="31">
        <v>2019</v>
      </c>
      <c r="B452" s="53">
        <f>IF(OR(E452=0,E452=""),"",COUNTA($E$307:E452))</f>
        <v>129</v>
      </c>
      <c r="C452" s="53" t="s">
        <v>239</v>
      </c>
      <c r="D452" s="58" t="s">
        <v>935</v>
      </c>
      <c r="E452" s="59">
        <v>1964</v>
      </c>
      <c r="F452" s="60">
        <v>1496.6</v>
      </c>
      <c r="G452" s="60">
        <v>1247.3</v>
      </c>
      <c r="H452" s="60">
        <v>0</v>
      </c>
      <c r="I452" s="60" t="s">
        <v>36</v>
      </c>
      <c r="J452" s="60"/>
      <c r="K452" s="60"/>
      <c r="L452" s="60"/>
      <c r="M452" s="60"/>
      <c r="N452" s="60"/>
      <c r="O452" s="60"/>
      <c r="P452" s="60">
        <f t="shared" si="332"/>
        <v>2951295.2</v>
      </c>
      <c r="Q452" s="60"/>
      <c r="R452" s="60">
        <f t="shared" si="333"/>
        <v>2868982.2</v>
      </c>
      <c r="S452" s="60"/>
      <c r="T452" s="60"/>
      <c r="U452" s="60">
        <f t="shared" si="334"/>
        <v>145170.20000000001</v>
      </c>
      <c r="V452" s="61"/>
      <c r="W452" s="62">
        <f t="shared" si="335"/>
        <v>5965447.5999999996</v>
      </c>
      <c r="X452" s="60" t="s">
        <v>18</v>
      </c>
      <c r="Y452" s="59">
        <v>0</v>
      </c>
      <c r="Z452" s="59">
        <v>0</v>
      </c>
      <c r="AA452" s="59">
        <v>0</v>
      </c>
      <c r="AB452" s="54">
        <f t="shared" si="336"/>
        <v>5965447.5999999996</v>
      </c>
    </row>
    <row r="453" spans="1:28" s="31" customFormat="1" ht="52.5" customHeight="1" x14ac:dyDescent="0.35">
      <c r="A453" s="31">
        <v>2019</v>
      </c>
      <c r="B453" s="53">
        <f>IF(OR(E453=0,E453=""),"",COUNTA($E$307:E453))</f>
        <v>130</v>
      </c>
      <c r="C453" s="53" t="s">
        <v>250</v>
      </c>
      <c r="D453" s="58" t="s">
        <v>936</v>
      </c>
      <c r="E453" s="59">
        <v>1963</v>
      </c>
      <c r="F453" s="60">
        <v>4114.3999999999996</v>
      </c>
      <c r="G453" s="60">
        <v>3249.9</v>
      </c>
      <c r="H453" s="60">
        <v>864.5</v>
      </c>
      <c r="I453" s="60" t="s">
        <v>36</v>
      </c>
      <c r="J453" s="60"/>
      <c r="K453" s="60"/>
      <c r="L453" s="60"/>
      <c r="M453" s="60"/>
      <c r="N453" s="60"/>
      <c r="O453" s="60"/>
      <c r="P453" s="60">
        <f t="shared" si="332"/>
        <v>8113596.7999999998</v>
      </c>
      <c r="Q453" s="60"/>
      <c r="R453" s="60">
        <f t="shared" si="333"/>
        <v>7887304.7999999998</v>
      </c>
      <c r="S453" s="60"/>
      <c r="T453" s="60"/>
      <c r="U453" s="60"/>
      <c r="V453" s="61"/>
      <c r="W453" s="62">
        <f t="shared" si="335"/>
        <v>16000901.6</v>
      </c>
      <c r="X453" s="60" t="s">
        <v>18</v>
      </c>
      <c r="Y453" s="59">
        <v>0</v>
      </c>
      <c r="Z453" s="59">
        <v>0</v>
      </c>
      <c r="AA453" s="59">
        <v>0</v>
      </c>
      <c r="AB453" s="54">
        <f t="shared" si="336"/>
        <v>16000901.6</v>
      </c>
    </row>
    <row r="454" spans="1:28" s="31" customFormat="1" ht="52.5" customHeight="1" x14ac:dyDescent="0.35">
      <c r="A454" s="31">
        <v>2019</v>
      </c>
      <c r="B454" s="53">
        <f>IF(OR(E454=0,E454=""),"",COUNTA($E$307:E454))</f>
        <v>131</v>
      </c>
      <c r="C454" s="53" t="s">
        <v>258</v>
      </c>
      <c r="D454" s="58" t="s">
        <v>937</v>
      </c>
      <c r="E454" s="59">
        <v>1964</v>
      </c>
      <c r="F454" s="60">
        <v>1680</v>
      </c>
      <c r="G454" s="60">
        <v>1243.8</v>
      </c>
      <c r="H454" s="60">
        <v>0</v>
      </c>
      <c r="I454" s="60" t="s">
        <v>36</v>
      </c>
      <c r="J454" s="60"/>
      <c r="K454" s="60"/>
      <c r="L454" s="60"/>
      <c r="M454" s="60"/>
      <c r="N454" s="60"/>
      <c r="O454" s="60"/>
      <c r="P454" s="60">
        <f t="shared" si="332"/>
        <v>3312960</v>
      </c>
      <c r="Q454" s="60"/>
      <c r="R454" s="60">
        <f t="shared" si="333"/>
        <v>3220560</v>
      </c>
      <c r="S454" s="60"/>
      <c r="T454" s="60"/>
      <c r="U454" s="60">
        <f t="shared" si="334"/>
        <v>162960</v>
      </c>
      <c r="V454" s="61"/>
      <c r="W454" s="62">
        <f t="shared" si="335"/>
        <v>6696480</v>
      </c>
      <c r="X454" s="60" t="s">
        <v>18</v>
      </c>
      <c r="Y454" s="59">
        <v>0</v>
      </c>
      <c r="Z454" s="59">
        <v>0</v>
      </c>
      <c r="AA454" s="59">
        <v>0</v>
      </c>
      <c r="AB454" s="54">
        <f t="shared" si="336"/>
        <v>6696480</v>
      </c>
    </row>
    <row r="455" spans="1:28" s="31" customFormat="1" ht="52.5" customHeight="1" x14ac:dyDescent="0.35">
      <c r="A455" s="31">
        <v>2019</v>
      </c>
      <c r="B455" s="53">
        <f>IF(OR(E455=0,E455=""),"",COUNTA($E$307:E455))</f>
        <v>132</v>
      </c>
      <c r="C455" s="53" t="s">
        <v>259</v>
      </c>
      <c r="D455" s="58" t="s">
        <v>938</v>
      </c>
      <c r="E455" s="59">
        <v>1963</v>
      </c>
      <c r="F455" s="60">
        <v>2828.67</v>
      </c>
      <c r="G455" s="60">
        <v>2004.57</v>
      </c>
      <c r="H455" s="60">
        <v>824.1</v>
      </c>
      <c r="I455" s="60" t="s">
        <v>36</v>
      </c>
      <c r="J455" s="60"/>
      <c r="K455" s="60"/>
      <c r="L455" s="60"/>
      <c r="M455" s="60"/>
      <c r="N455" s="60"/>
      <c r="O455" s="60"/>
      <c r="P455" s="60">
        <f t="shared" si="332"/>
        <v>5578137.2400000002</v>
      </c>
      <c r="Q455" s="60"/>
      <c r="R455" s="60">
        <f t="shared" si="333"/>
        <v>5422560.3899999997</v>
      </c>
      <c r="S455" s="60"/>
      <c r="T455" s="60"/>
      <c r="U455" s="60">
        <f t="shared" si="334"/>
        <v>274380.99</v>
      </c>
      <c r="V455" s="61"/>
      <c r="W455" s="62">
        <f t="shared" si="335"/>
        <v>11275078.619999999</v>
      </c>
      <c r="X455" s="60" t="s">
        <v>18</v>
      </c>
      <c r="Y455" s="59">
        <v>0</v>
      </c>
      <c r="Z455" s="59">
        <v>0</v>
      </c>
      <c r="AA455" s="59">
        <v>0</v>
      </c>
      <c r="AB455" s="54">
        <f t="shared" si="336"/>
        <v>11275078.619999999</v>
      </c>
    </row>
    <row r="456" spans="1:28" s="31" customFormat="1" ht="52.5" customHeight="1" x14ac:dyDescent="0.35">
      <c r="A456" s="31">
        <v>2019</v>
      </c>
      <c r="B456" s="53">
        <f>IF(OR(E456=0,E456=""),"",COUNTA($E$307:E456))</f>
        <v>133</v>
      </c>
      <c r="C456" s="53" t="s">
        <v>261</v>
      </c>
      <c r="D456" s="58" t="s">
        <v>939</v>
      </c>
      <c r="E456" s="59">
        <v>1963</v>
      </c>
      <c r="F456" s="60">
        <v>1782.63</v>
      </c>
      <c r="G456" s="60">
        <v>1256.26</v>
      </c>
      <c r="H456" s="60">
        <v>526.37</v>
      </c>
      <c r="I456" s="60" t="s">
        <v>36</v>
      </c>
      <c r="J456" s="60"/>
      <c r="K456" s="60"/>
      <c r="L456" s="60"/>
      <c r="M456" s="60"/>
      <c r="N456" s="60"/>
      <c r="O456" s="60"/>
      <c r="P456" s="60">
        <f t="shared" si="332"/>
        <v>3515346.36</v>
      </c>
      <c r="Q456" s="60"/>
      <c r="R456" s="60">
        <f t="shared" si="333"/>
        <v>3417301.71</v>
      </c>
      <c r="S456" s="60"/>
      <c r="T456" s="60"/>
      <c r="U456" s="60">
        <f t="shared" si="334"/>
        <v>172915.11</v>
      </c>
      <c r="V456" s="61"/>
      <c r="W456" s="62">
        <f t="shared" si="335"/>
        <v>7105563.1799999997</v>
      </c>
      <c r="X456" s="60" t="s">
        <v>18</v>
      </c>
      <c r="Y456" s="59">
        <v>0</v>
      </c>
      <c r="Z456" s="59">
        <v>0</v>
      </c>
      <c r="AA456" s="59">
        <v>0</v>
      </c>
      <c r="AB456" s="54">
        <f t="shared" si="336"/>
        <v>7105563.1799999997</v>
      </c>
    </row>
    <row r="457" spans="1:28" s="31" customFormat="1" ht="52.5" customHeight="1" x14ac:dyDescent="0.35">
      <c r="A457" s="31">
        <v>2019</v>
      </c>
      <c r="B457" s="53">
        <f>IF(OR(E457=0,E457=""),"",COUNTA($E$307:E457))</f>
        <v>134</v>
      </c>
      <c r="C457" s="53" t="s">
        <v>263</v>
      </c>
      <c r="D457" s="58" t="s">
        <v>940</v>
      </c>
      <c r="E457" s="59">
        <v>1963</v>
      </c>
      <c r="F457" s="60">
        <v>4144.3999999999996</v>
      </c>
      <c r="G457" s="60">
        <v>3208.6</v>
      </c>
      <c r="H457" s="60">
        <v>0</v>
      </c>
      <c r="I457" s="60" t="s">
        <v>33</v>
      </c>
      <c r="J457" s="60"/>
      <c r="K457" s="60"/>
      <c r="L457" s="60"/>
      <c r="M457" s="60"/>
      <c r="N457" s="60"/>
      <c r="O457" s="60"/>
      <c r="P457" s="60">
        <f t="shared" si="332"/>
        <v>8172756.7999999998</v>
      </c>
      <c r="Q457" s="60"/>
      <c r="R457" s="60">
        <f t="shared" si="333"/>
        <v>7944814.7999999998</v>
      </c>
      <c r="S457" s="60"/>
      <c r="T457" s="60"/>
      <c r="U457" s="60">
        <f t="shared" si="334"/>
        <v>402006.8</v>
      </c>
      <c r="V457" s="61"/>
      <c r="W457" s="62">
        <f t="shared" si="335"/>
        <v>16519578.4</v>
      </c>
      <c r="X457" s="60" t="s">
        <v>18</v>
      </c>
      <c r="Y457" s="59">
        <v>0</v>
      </c>
      <c r="Z457" s="59">
        <v>0</v>
      </c>
      <c r="AA457" s="59">
        <v>0</v>
      </c>
      <c r="AB457" s="54">
        <f t="shared" si="336"/>
        <v>16519578.4</v>
      </c>
    </row>
    <row r="458" spans="1:28" s="31" customFormat="1" ht="52.5" customHeight="1" x14ac:dyDescent="0.35">
      <c r="A458" s="31">
        <v>2019</v>
      </c>
      <c r="B458" s="53">
        <f>IF(OR(E458=0,E458=""),"",COUNTA($E$307:E458))</f>
        <v>135</v>
      </c>
      <c r="C458" s="53" t="s">
        <v>264</v>
      </c>
      <c r="D458" s="58" t="s">
        <v>941</v>
      </c>
      <c r="E458" s="59">
        <v>1963</v>
      </c>
      <c r="F458" s="60">
        <v>4381.3</v>
      </c>
      <c r="G458" s="60">
        <v>3243.8</v>
      </c>
      <c r="H458" s="60">
        <v>713.5</v>
      </c>
      <c r="I458" s="60" t="s">
        <v>33</v>
      </c>
      <c r="J458" s="60"/>
      <c r="K458" s="60"/>
      <c r="L458" s="60"/>
      <c r="M458" s="60"/>
      <c r="N458" s="60"/>
      <c r="O458" s="60"/>
      <c r="P458" s="60">
        <f t="shared" si="332"/>
        <v>8639923.5999999996</v>
      </c>
      <c r="Q458" s="60"/>
      <c r="R458" s="60">
        <f t="shared" si="333"/>
        <v>8398952.0999999996</v>
      </c>
      <c r="S458" s="60"/>
      <c r="T458" s="60"/>
      <c r="U458" s="60">
        <f t="shared" si="334"/>
        <v>424986.1</v>
      </c>
      <c r="V458" s="61"/>
      <c r="W458" s="62">
        <f t="shared" si="335"/>
        <v>17463861.800000001</v>
      </c>
      <c r="X458" s="60" t="s">
        <v>18</v>
      </c>
      <c r="Y458" s="59">
        <v>0</v>
      </c>
      <c r="Z458" s="59">
        <v>0</v>
      </c>
      <c r="AA458" s="59">
        <v>0</v>
      </c>
      <c r="AB458" s="54">
        <f t="shared" si="336"/>
        <v>17463861.800000001</v>
      </c>
    </row>
    <row r="459" spans="1:28" s="31" customFormat="1" ht="52.5" customHeight="1" x14ac:dyDescent="0.35">
      <c r="A459" s="31">
        <v>2019</v>
      </c>
      <c r="B459" s="53">
        <f>IF(OR(E459=0,E459=""),"",COUNTA($E$307:E459))</f>
        <v>136</v>
      </c>
      <c r="C459" s="53" t="s">
        <v>266</v>
      </c>
      <c r="D459" s="58" t="s">
        <v>942</v>
      </c>
      <c r="E459" s="59">
        <v>1965</v>
      </c>
      <c r="F459" s="60">
        <v>2922.5</v>
      </c>
      <c r="G459" s="60">
        <v>2698.5</v>
      </c>
      <c r="H459" s="60">
        <v>8.9</v>
      </c>
      <c r="I459" s="60" t="s">
        <v>33</v>
      </c>
      <c r="J459" s="60"/>
      <c r="K459" s="60"/>
      <c r="L459" s="60"/>
      <c r="M459" s="60"/>
      <c r="N459" s="60"/>
      <c r="O459" s="60"/>
      <c r="P459" s="60">
        <f t="shared" si="332"/>
        <v>5763170</v>
      </c>
      <c r="Q459" s="60"/>
      <c r="R459" s="60">
        <f t="shared" si="333"/>
        <v>5602432.5</v>
      </c>
      <c r="S459" s="60"/>
      <c r="T459" s="60"/>
      <c r="U459" s="60">
        <f t="shared" si="334"/>
        <v>283482.5</v>
      </c>
      <c r="V459" s="61"/>
      <c r="W459" s="62">
        <f t="shared" si="335"/>
        <v>11649085</v>
      </c>
      <c r="X459" s="60" t="s">
        <v>18</v>
      </c>
      <c r="Y459" s="59">
        <v>0</v>
      </c>
      <c r="Z459" s="59">
        <v>0</v>
      </c>
      <c r="AA459" s="59">
        <v>0</v>
      </c>
      <c r="AB459" s="54">
        <f t="shared" si="336"/>
        <v>11649085</v>
      </c>
    </row>
    <row r="460" spans="1:28" s="31" customFormat="1" ht="52.5" customHeight="1" x14ac:dyDescent="0.35">
      <c r="A460" s="31">
        <v>2019</v>
      </c>
      <c r="B460" s="53">
        <f>IF(OR(E460=0,E460=""),"",COUNTA($E$307:E460))</f>
        <v>137</v>
      </c>
      <c r="C460" s="53" t="s">
        <v>275</v>
      </c>
      <c r="D460" s="58" t="s">
        <v>943</v>
      </c>
      <c r="E460" s="59">
        <v>1964</v>
      </c>
      <c r="F460" s="60">
        <v>6193.3</v>
      </c>
      <c r="G460" s="60">
        <v>3717.4</v>
      </c>
      <c r="H460" s="60">
        <v>1071.3</v>
      </c>
      <c r="I460" s="60" t="s">
        <v>33</v>
      </c>
      <c r="J460" s="60"/>
      <c r="K460" s="60"/>
      <c r="L460" s="60"/>
      <c r="M460" s="60"/>
      <c r="N460" s="60"/>
      <c r="O460" s="60"/>
      <c r="P460" s="60">
        <f t="shared" si="332"/>
        <v>12213187.6</v>
      </c>
      <c r="Q460" s="60"/>
      <c r="R460" s="60">
        <f t="shared" si="333"/>
        <v>11872556.1</v>
      </c>
      <c r="S460" s="60"/>
      <c r="T460" s="60"/>
      <c r="U460" s="60">
        <f t="shared" si="334"/>
        <v>600750.1</v>
      </c>
      <c r="V460" s="61"/>
      <c r="W460" s="62">
        <f t="shared" si="335"/>
        <v>24686493.800000001</v>
      </c>
      <c r="X460" s="60" t="s">
        <v>18</v>
      </c>
      <c r="Y460" s="59">
        <v>0</v>
      </c>
      <c r="Z460" s="59">
        <v>0</v>
      </c>
      <c r="AA460" s="59">
        <v>0</v>
      </c>
      <c r="AB460" s="54">
        <f t="shared" si="336"/>
        <v>24686493.800000001</v>
      </c>
    </row>
    <row r="461" spans="1:28" s="31" customFormat="1" ht="52.5" customHeight="1" x14ac:dyDescent="0.35">
      <c r="A461" s="31">
        <v>2019</v>
      </c>
      <c r="B461" s="53">
        <f>IF(OR(E461=0,E461=""),"",COUNTA($E$307:E461))</f>
        <v>138</v>
      </c>
      <c r="C461" s="53" t="s">
        <v>282</v>
      </c>
      <c r="D461" s="58" t="s">
        <v>944</v>
      </c>
      <c r="E461" s="59">
        <v>1963</v>
      </c>
      <c r="F461" s="60">
        <v>3860.3</v>
      </c>
      <c r="G461" s="60">
        <v>2568.3000000000002</v>
      </c>
      <c r="H461" s="60">
        <v>0</v>
      </c>
      <c r="I461" s="60" t="s">
        <v>36</v>
      </c>
      <c r="J461" s="60"/>
      <c r="K461" s="60"/>
      <c r="L461" s="60"/>
      <c r="M461" s="60"/>
      <c r="N461" s="60"/>
      <c r="O461" s="60"/>
      <c r="P461" s="60">
        <f t="shared" si="332"/>
        <v>7612511.5999999996</v>
      </c>
      <c r="Q461" s="60"/>
      <c r="R461" s="60">
        <f t="shared" si="333"/>
        <v>7400195.0999999996</v>
      </c>
      <c r="S461" s="60"/>
      <c r="T461" s="60"/>
      <c r="U461" s="60">
        <f t="shared" si="334"/>
        <v>374449.1</v>
      </c>
      <c r="V461" s="61"/>
      <c r="W461" s="62">
        <f t="shared" si="335"/>
        <v>15387155.800000001</v>
      </c>
      <c r="X461" s="60" t="s">
        <v>18</v>
      </c>
      <c r="Y461" s="59">
        <v>0</v>
      </c>
      <c r="Z461" s="59">
        <v>0</v>
      </c>
      <c r="AA461" s="59">
        <v>0</v>
      </c>
      <c r="AB461" s="54">
        <f t="shared" si="336"/>
        <v>15387155.800000001</v>
      </c>
    </row>
    <row r="462" spans="1:28" s="31" customFormat="1" ht="52.5" customHeight="1" x14ac:dyDescent="0.35">
      <c r="A462" s="31">
        <v>2019</v>
      </c>
      <c r="B462" s="53">
        <f>IF(OR(E462=0,E462=""),"",COUNTA($E$307:E462))</f>
        <v>139</v>
      </c>
      <c r="C462" s="53" t="s">
        <v>284</v>
      </c>
      <c r="D462" s="58" t="s">
        <v>945</v>
      </c>
      <c r="E462" s="59">
        <v>1965</v>
      </c>
      <c r="F462" s="60">
        <v>3437.1</v>
      </c>
      <c r="G462" s="60">
        <v>2498.4</v>
      </c>
      <c r="H462" s="60">
        <v>0</v>
      </c>
      <c r="I462" s="60" t="s">
        <v>36</v>
      </c>
      <c r="J462" s="60"/>
      <c r="K462" s="60"/>
      <c r="L462" s="60"/>
      <c r="M462" s="60"/>
      <c r="N462" s="60"/>
      <c r="O462" s="60"/>
      <c r="P462" s="60">
        <f t="shared" si="332"/>
        <v>6777961.2000000002</v>
      </c>
      <c r="Q462" s="60"/>
      <c r="R462" s="60">
        <f t="shared" si="333"/>
        <v>6588920.7000000002</v>
      </c>
      <c r="S462" s="60"/>
      <c r="T462" s="60"/>
      <c r="U462" s="60">
        <f t="shared" si="334"/>
        <v>333398.7</v>
      </c>
      <c r="V462" s="61"/>
      <c r="W462" s="62">
        <f t="shared" si="335"/>
        <v>13700280.6</v>
      </c>
      <c r="X462" s="60" t="s">
        <v>18</v>
      </c>
      <c r="Y462" s="59">
        <v>0</v>
      </c>
      <c r="Z462" s="59">
        <v>0</v>
      </c>
      <c r="AA462" s="59">
        <v>0</v>
      </c>
      <c r="AB462" s="54">
        <f t="shared" si="336"/>
        <v>13700280.6</v>
      </c>
    </row>
    <row r="463" spans="1:28" s="31" customFormat="1" ht="52.5" customHeight="1" x14ac:dyDescent="0.35">
      <c r="A463" s="31">
        <v>2019</v>
      </c>
      <c r="B463" s="53">
        <f>IF(OR(E463=0,E463=""),"",COUNTA($E$307:E463))</f>
        <v>140</v>
      </c>
      <c r="C463" s="53" t="s">
        <v>294</v>
      </c>
      <c r="D463" s="58" t="s">
        <v>946</v>
      </c>
      <c r="E463" s="59">
        <v>1963</v>
      </c>
      <c r="F463" s="60">
        <v>3234.9</v>
      </c>
      <c r="G463" s="60">
        <v>2532</v>
      </c>
      <c r="H463" s="60">
        <v>0</v>
      </c>
      <c r="I463" s="60" t="s">
        <v>33</v>
      </c>
      <c r="J463" s="60"/>
      <c r="K463" s="60"/>
      <c r="L463" s="60"/>
      <c r="M463" s="60"/>
      <c r="N463" s="60"/>
      <c r="O463" s="60"/>
      <c r="P463" s="60">
        <f t="shared" si="332"/>
        <v>6379222.7999999998</v>
      </c>
      <c r="Q463" s="60"/>
      <c r="R463" s="60">
        <f t="shared" si="333"/>
        <v>6201303.2999999998</v>
      </c>
      <c r="S463" s="60"/>
      <c r="T463" s="60"/>
      <c r="U463" s="60">
        <f t="shared" si="334"/>
        <v>313785.3</v>
      </c>
      <c r="V463" s="61"/>
      <c r="W463" s="62">
        <f t="shared" si="335"/>
        <v>12894311.4</v>
      </c>
      <c r="X463" s="60" t="s">
        <v>18</v>
      </c>
      <c r="Y463" s="59">
        <v>0</v>
      </c>
      <c r="Z463" s="59">
        <v>0</v>
      </c>
      <c r="AA463" s="59">
        <v>0</v>
      </c>
      <c r="AB463" s="54">
        <f t="shared" si="336"/>
        <v>12894311.4</v>
      </c>
    </row>
    <row r="464" spans="1:28" s="31" customFormat="1" ht="52.5" customHeight="1" x14ac:dyDescent="0.35">
      <c r="A464" s="31">
        <v>2019</v>
      </c>
      <c r="B464" s="53">
        <f>IF(OR(E464=0,E464=""),"",COUNTA($E$307:E464))</f>
        <v>141</v>
      </c>
      <c r="C464" s="53" t="s">
        <v>302</v>
      </c>
      <c r="D464" s="58" t="s">
        <v>947</v>
      </c>
      <c r="E464" s="59">
        <v>1963</v>
      </c>
      <c r="F464" s="60">
        <v>4286.2</v>
      </c>
      <c r="G464" s="60">
        <v>2590.3000000000002</v>
      </c>
      <c r="H464" s="60">
        <v>1375.1</v>
      </c>
      <c r="I464" s="60" t="s">
        <v>33</v>
      </c>
      <c r="J464" s="60"/>
      <c r="K464" s="60"/>
      <c r="L464" s="60"/>
      <c r="M464" s="60"/>
      <c r="N464" s="60"/>
      <c r="O464" s="60"/>
      <c r="P464" s="60">
        <f t="shared" si="332"/>
        <v>8452386.4000000004</v>
      </c>
      <c r="Q464" s="60"/>
      <c r="R464" s="60">
        <f t="shared" si="333"/>
        <v>8216645.4000000004</v>
      </c>
      <c r="S464" s="60"/>
      <c r="T464" s="60"/>
      <c r="U464" s="60"/>
      <c r="V464" s="61"/>
      <c r="W464" s="62">
        <f t="shared" si="335"/>
        <v>16669031.800000001</v>
      </c>
      <c r="X464" s="60" t="s">
        <v>18</v>
      </c>
      <c r="Y464" s="59">
        <v>0</v>
      </c>
      <c r="Z464" s="59">
        <v>0</v>
      </c>
      <c r="AA464" s="59">
        <v>0</v>
      </c>
      <c r="AB464" s="54">
        <f t="shared" si="336"/>
        <v>16669031.800000001</v>
      </c>
    </row>
    <row r="465" spans="1:28" s="31" customFormat="1" ht="52.5" customHeight="1" x14ac:dyDescent="0.35">
      <c r="A465" s="31">
        <v>2019</v>
      </c>
      <c r="B465" s="53">
        <f>IF(OR(E465=0,E465=""),"",COUNTA($E$307:E465))</f>
        <v>142</v>
      </c>
      <c r="C465" s="53" t="s">
        <v>310</v>
      </c>
      <c r="D465" s="58" t="s">
        <v>948</v>
      </c>
      <c r="E465" s="59">
        <v>1965</v>
      </c>
      <c r="F465" s="60">
        <v>3873</v>
      </c>
      <c r="G465" s="60">
        <v>2418.5</v>
      </c>
      <c r="H465" s="60">
        <v>0</v>
      </c>
      <c r="I465" s="60" t="s">
        <v>33</v>
      </c>
      <c r="J465" s="60"/>
      <c r="K465" s="60"/>
      <c r="L465" s="60"/>
      <c r="M465" s="60"/>
      <c r="N465" s="60"/>
      <c r="O465" s="60"/>
      <c r="P465" s="60">
        <f t="shared" si="332"/>
        <v>7637556</v>
      </c>
      <c r="Q465" s="60"/>
      <c r="R465" s="60">
        <f t="shared" si="333"/>
        <v>7424541</v>
      </c>
      <c r="S465" s="60"/>
      <c r="T465" s="60"/>
      <c r="U465" s="60">
        <f t="shared" si="334"/>
        <v>375681</v>
      </c>
      <c r="V465" s="61"/>
      <c r="W465" s="62">
        <f t="shared" si="335"/>
        <v>15437778</v>
      </c>
      <c r="X465" s="60" t="s">
        <v>18</v>
      </c>
      <c r="Y465" s="59">
        <v>0</v>
      </c>
      <c r="Z465" s="59">
        <v>0</v>
      </c>
      <c r="AA465" s="59">
        <v>0</v>
      </c>
      <c r="AB465" s="54">
        <f t="shared" si="336"/>
        <v>15437778</v>
      </c>
    </row>
    <row r="466" spans="1:28" s="31" customFormat="1" ht="52.5" customHeight="1" x14ac:dyDescent="0.35">
      <c r="A466" s="31">
        <v>2019</v>
      </c>
      <c r="B466" s="53">
        <f>IF(OR(E466=0,E466=""),"",COUNTA($E$307:E466))</f>
        <v>143</v>
      </c>
      <c r="C466" s="53" t="s">
        <v>316</v>
      </c>
      <c r="D466" s="58" t="s">
        <v>949</v>
      </c>
      <c r="E466" s="59">
        <v>1964</v>
      </c>
      <c r="F466" s="60">
        <v>1322.9</v>
      </c>
      <c r="G466" s="60">
        <v>1226.2</v>
      </c>
      <c r="H466" s="60">
        <v>0</v>
      </c>
      <c r="I466" s="60" t="s">
        <v>36</v>
      </c>
      <c r="J466" s="60"/>
      <c r="K466" s="60"/>
      <c r="L466" s="60"/>
      <c r="M466" s="60"/>
      <c r="N466" s="60"/>
      <c r="O466" s="60"/>
      <c r="P466" s="60">
        <f t="shared" si="332"/>
        <v>2608758.7999999998</v>
      </c>
      <c r="Q466" s="60"/>
      <c r="R466" s="60">
        <f t="shared" si="333"/>
        <v>2535999.2999999998</v>
      </c>
      <c r="S466" s="60"/>
      <c r="T466" s="60"/>
      <c r="U466" s="60">
        <f t="shared" si="334"/>
        <v>128321.3</v>
      </c>
      <c r="V466" s="61"/>
      <c r="W466" s="62">
        <f t="shared" si="335"/>
        <v>5273079.4000000004</v>
      </c>
      <c r="X466" s="60" t="s">
        <v>18</v>
      </c>
      <c r="Y466" s="59">
        <v>0</v>
      </c>
      <c r="Z466" s="59">
        <v>0</v>
      </c>
      <c r="AA466" s="59">
        <v>0</v>
      </c>
      <c r="AB466" s="54">
        <f t="shared" si="336"/>
        <v>5273079.4000000004</v>
      </c>
    </row>
    <row r="467" spans="1:28" s="31" customFormat="1" ht="52.5" customHeight="1" x14ac:dyDescent="0.35">
      <c r="A467" s="31">
        <v>2019</v>
      </c>
      <c r="B467" s="53">
        <f>IF(OR(E467=0,E467=""),"",COUNTA($E$307:E467))</f>
        <v>144</v>
      </c>
      <c r="C467" s="53" t="s">
        <v>318</v>
      </c>
      <c r="D467" s="58" t="s">
        <v>950</v>
      </c>
      <c r="E467" s="59">
        <v>1964</v>
      </c>
      <c r="F467" s="60">
        <v>2572</v>
      </c>
      <c r="G467" s="60">
        <v>2572</v>
      </c>
      <c r="H467" s="60">
        <v>0</v>
      </c>
      <c r="I467" s="60" t="s">
        <v>33</v>
      </c>
      <c r="J467" s="60"/>
      <c r="K467" s="60"/>
      <c r="L467" s="60"/>
      <c r="M467" s="60"/>
      <c r="N467" s="60"/>
      <c r="O467" s="60"/>
      <c r="P467" s="60">
        <f t="shared" si="332"/>
        <v>5071984</v>
      </c>
      <c r="Q467" s="60"/>
      <c r="R467" s="60">
        <f t="shared" si="333"/>
        <v>4930524</v>
      </c>
      <c r="S467" s="60"/>
      <c r="T467" s="60"/>
      <c r="U467" s="60"/>
      <c r="V467" s="61"/>
      <c r="W467" s="62">
        <f t="shared" si="335"/>
        <v>10002508</v>
      </c>
      <c r="X467" s="60" t="s">
        <v>18</v>
      </c>
      <c r="Y467" s="59">
        <v>0</v>
      </c>
      <c r="Z467" s="59">
        <v>0</v>
      </c>
      <c r="AA467" s="59">
        <v>0</v>
      </c>
      <c r="AB467" s="54">
        <f t="shared" si="336"/>
        <v>10002508</v>
      </c>
    </row>
    <row r="468" spans="1:28" s="31" customFormat="1" ht="52.5" customHeight="1" x14ac:dyDescent="0.35">
      <c r="A468" s="31">
        <v>2019</v>
      </c>
      <c r="B468" s="53">
        <f>IF(OR(E468=0,E468=""),"",COUNTA($E$307:E468))</f>
        <v>145</v>
      </c>
      <c r="C468" s="53" t="s">
        <v>343</v>
      </c>
      <c r="D468" s="58" t="s">
        <v>951</v>
      </c>
      <c r="E468" s="59">
        <v>1964</v>
      </c>
      <c r="F468" s="60">
        <v>2875.3</v>
      </c>
      <c r="G468" s="60">
        <v>2011.5</v>
      </c>
      <c r="H468" s="60">
        <v>0</v>
      </c>
      <c r="I468" s="60" t="s">
        <v>36</v>
      </c>
      <c r="J468" s="60"/>
      <c r="K468" s="60"/>
      <c r="L468" s="60"/>
      <c r="M468" s="60"/>
      <c r="N468" s="60"/>
      <c r="O468" s="60"/>
      <c r="P468" s="60">
        <f t="shared" si="332"/>
        <v>5670091.5999999996</v>
      </c>
      <c r="Q468" s="60"/>
      <c r="R468" s="60">
        <f t="shared" si="333"/>
        <v>5511950.0999999996</v>
      </c>
      <c r="S468" s="60"/>
      <c r="T468" s="60"/>
      <c r="U468" s="60">
        <f t="shared" si="334"/>
        <v>278904.09999999998</v>
      </c>
      <c r="V468" s="61"/>
      <c r="W468" s="62">
        <f t="shared" si="335"/>
        <v>11460945.800000001</v>
      </c>
      <c r="X468" s="60" t="s">
        <v>18</v>
      </c>
      <c r="Y468" s="59">
        <v>0</v>
      </c>
      <c r="Z468" s="59">
        <v>0</v>
      </c>
      <c r="AA468" s="59">
        <v>0</v>
      </c>
      <c r="AB468" s="54">
        <f t="shared" si="336"/>
        <v>11460945.800000001</v>
      </c>
    </row>
    <row r="469" spans="1:28" s="31" customFormat="1" ht="52.5" customHeight="1" x14ac:dyDescent="0.35">
      <c r="A469" s="31">
        <v>2019</v>
      </c>
      <c r="B469" s="53">
        <f>IF(OR(E469=0,E469=""),"",COUNTA($E$307:E469))</f>
        <v>146</v>
      </c>
      <c r="C469" s="53" t="s">
        <v>377</v>
      </c>
      <c r="D469" s="58" t="s">
        <v>952</v>
      </c>
      <c r="E469" s="59">
        <v>1964</v>
      </c>
      <c r="F469" s="60">
        <v>2075.1999999999998</v>
      </c>
      <c r="G469" s="60">
        <v>1503.5</v>
      </c>
      <c r="H469" s="60">
        <v>103.7</v>
      </c>
      <c r="I469" s="60" t="s">
        <v>33</v>
      </c>
      <c r="J469" s="60"/>
      <c r="K469" s="60"/>
      <c r="L469" s="60"/>
      <c r="M469" s="60"/>
      <c r="N469" s="60"/>
      <c r="O469" s="60"/>
      <c r="P469" s="60">
        <f t="shared" si="332"/>
        <v>4092294.4</v>
      </c>
      <c r="Q469" s="60"/>
      <c r="R469" s="60">
        <f t="shared" si="333"/>
        <v>3978158.4</v>
      </c>
      <c r="S469" s="60"/>
      <c r="T469" s="60"/>
      <c r="U469" s="60">
        <f t="shared" si="334"/>
        <v>201294.4</v>
      </c>
      <c r="V469" s="61"/>
      <c r="W469" s="62">
        <f t="shared" si="335"/>
        <v>8271747.2000000002</v>
      </c>
      <c r="X469" s="60" t="s">
        <v>18</v>
      </c>
      <c r="Y469" s="59">
        <v>0</v>
      </c>
      <c r="Z469" s="59">
        <v>0</v>
      </c>
      <c r="AA469" s="59">
        <v>0</v>
      </c>
      <c r="AB469" s="54">
        <f t="shared" si="336"/>
        <v>8271747.2000000002</v>
      </c>
    </row>
    <row r="470" spans="1:28" s="31" customFormat="1" ht="52.5" customHeight="1" x14ac:dyDescent="0.35">
      <c r="A470" s="31">
        <v>2019</v>
      </c>
      <c r="B470" s="53">
        <f>IF(OR(E470=0,E470=""),"",COUNTA($E$307:E470))</f>
        <v>147</v>
      </c>
      <c r="C470" s="53" t="s">
        <v>390</v>
      </c>
      <c r="D470" s="58" t="s">
        <v>953</v>
      </c>
      <c r="E470" s="59">
        <v>1965</v>
      </c>
      <c r="F470" s="60">
        <v>3345.8</v>
      </c>
      <c r="G470" s="60">
        <v>1982.5</v>
      </c>
      <c r="H470" s="60">
        <v>498.4</v>
      </c>
      <c r="I470" s="60" t="s">
        <v>33</v>
      </c>
      <c r="J470" s="60"/>
      <c r="K470" s="60"/>
      <c r="L470" s="60"/>
      <c r="M470" s="60"/>
      <c r="N470" s="60"/>
      <c r="O470" s="60"/>
      <c r="P470" s="60">
        <f t="shared" si="332"/>
        <v>6597917.5999999996</v>
      </c>
      <c r="Q470" s="60"/>
      <c r="R470" s="60">
        <f t="shared" si="333"/>
        <v>6413898.5999999996</v>
      </c>
      <c r="S470" s="60"/>
      <c r="T470" s="60"/>
      <c r="U470" s="60"/>
      <c r="V470" s="61"/>
      <c r="W470" s="62">
        <f t="shared" si="335"/>
        <v>13011816.199999999</v>
      </c>
      <c r="X470" s="60" t="s">
        <v>18</v>
      </c>
      <c r="Y470" s="59">
        <v>0</v>
      </c>
      <c r="Z470" s="59">
        <v>0</v>
      </c>
      <c r="AA470" s="59">
        <v>0</v>
      </c>
      <c r="AB470" s="54">
        <f t="shared" si="336"/>
        <v>13011816.199999999</v>
      </c>
    </row>
    <row r="471" spans="1:28" s="31" customFormat="1" ht="52.5" customHeight="1" x14ac:dyDescent="0.35">
      <c r="A471" s="31">
        <v>2019</v>
      </c>
      <c r="B471" s="53">
        <f>IF(OR(E471=0,E471=""),"",COUNTA($E$307:E471))</f>
        <v>148</v>
      </c>
      <c r="C471" s="53" t="s">
        <v>405</v>
      </c>
      <c r="D471" s="58" t="s">
        <v>954</v>
      </c>
      <c r="E471" s="59">
        <v>1964</v>
      </c>
      <c r="F471" s="60">
        <v>2027.6</v>
      </c>
      <c r="G471" s="60">
        <v>1519.4</v>
      </c>
      <c r="H471" s="60">
        <v>95.4</v>
      </c>
      <c r="I471" s="60" t="s">
        <v>33</v>
      </c>
      <c r="J471" s="60"/>
      <c r="K471" s="60"/>
      <c r="L471" s="60"/>
      <c r="M471" s="60"/>
      <c r="N471" s="60"/>
      <c r="O471" s="60"/>
      <c r="P471" s="60">
        <f t="shared" si="332"/>
        <v>3998427.2</v>
      </c>
      <c r="Q471" s="60"/>
      <c r="R471" s="60">
        <f t="shared" si="333"/>
        <v>3886909.2</v>
      </c>
      <c r="S471" s="60"/>
      <c r="T471" s="60"/>
      <c r="U471" s="60">
        <f t="shared" si="334"/>
        <v>196677.2</v>
      </c>
      <c r="V471" s="61"/>
      <c r="W471" s="62">
        <f t="shared" si="335"/>
        <v>8082013.5999999996</v>
      </c>
      <c r="X471" s="60" t="s">
        <v>18</v>
      </c>
      <c r="Y471" s="59">
        <v>0</v>
      </c>
      <c r="Z471" s="59">
        <v>0</v>
      </c>
      <c r="AA471" s="59">
        <v>0</v>
      </c>
      <c r="AB471" s="54">
        <f t="shared" si="336"/>
        <v>8082013.5999999996</v>
      </c>
    </row>
    <row r="472" spans="1:28" s="31" customFormat="1" ht="52.5" customHeight="1" x14ac:dyDescent="0.35">
      <c r="A472" s="31">
        <v>2019</v>
      </c>
      <c r="B472" s="53">
        <f>IF(OR(E472=0,E472=""),"",COUNTA($E$307:E472))</f>
        <v>149</v>
      </c>
      <c r="C472" s="53" t="s">
        <v>413</v>
      </c>
      <c r="D472" s="58" t="s">
        <v>955</v>
      </c>
      <c r="E472" s="59">
        <v>1965</v>
      </c>
      <c r="F472" s="60">
        <v>5678.4</v>
      </c>
      <c r="G472" s="60">
        <v>3524.3</v>
      </c>
      <c r="H472" s="60">
        <v>2154.1</v>
      </c>
      <c r="I472" s="60" t="s">
        <v>33</v>
      </c>
      <c r="J472" s="60"/>
      <c r="K472" s="60"/>
      <c r="L472" s="60"/>
      <c r="M472" s="60"/>
      <c r="N472" s="60"/>
      <c r="O472" s="60"/>
      <c r="P472" s="60">
        <f t="shared" si="332"/>
        <v>11197804.800000001</v>
      </c>
      <c r="Q472" s="60"/>
      <c r="R472" s="60">
        <f t="shared" si="333"/>
        <v>10885492.800000001</v>
      </c>
      <c r="S472" s="60"/>
      <c r="T472" s="60"/>
      <c r="U472" s="60">
        <f t="shared" si="334"/>
        <v>550804.80000000005</v>
      </c>
      <c r="V472" s="61"/>
      <c r="W472" s="62">
        <f t="shared" si="335"/>
        <v>22634102.399999999</v>
      </c>
      <c r="X472" s="60" t="s">
        <v>18</v>
      </c>
      <c r="Y472" s="59">
        <v>0</v>
      </c>
      <c r="Z472" s="59">
        <v>0</v>
      </c>
      <c r="AA472" s="59">
        <v>0</v>
      </c>
      <c r="AB472" s="54">
        <f t="shared" si="336"/>
        <v>22634102.399999999</v>
      </c>
    </row>
    <row r="473" spans="1:28" s="31" customFormat="1" ht="52.5" customHeight="1" x14ac:dyDescent="0.35">
      <c r="A473" s="31">
        <v>2019</v>
      </c>
      <c r="B473" s="53">
        <f>IF(OR(E473=0,E473=""),"",COUNTA($E$307:E473))</f>
        <v>150</v>
      </c>
      <c r="C473" s="53" t="s">
        <v>415</v>
      </c>
      <c r="D473" s="58" t="s">
        <v>956</v>
      </c>
      <c r="E473" s="59">
        <v>1965</v>
      </c>
      <c r="F473" s="60">
        <v>3457.7</v>
      </c>
      <c r="G473" s="60">
        <v>2579.6999999999998</v>
      </c>
      <c r="H473" s="60">
        <v>0</v>
      </c>
      <c r="I473" s="60" t="s">
        <v>33</v>
      </c>
      <c r="J473" s="60"/>
      <c r="K473" s="60"/>
      <c r="L473" s="60"/>
      <c r="M473" s="60"/>
      <c r="N473" s="60"/>
      <c r="O473" s="60"/>
      <c r="P473" s="60">
        <f t="shared" si="332"/>
        <v>6818584.4000000004</v>
      </c>
      <c r="Q473" s="60"/>
      <c r="R473" s="60">
        <f t="shared" si="333"/>
        <v>6628410.9000000004</v>
      </c>
      <c r="S473" s="60"/>
      <c r="T473" s="60"/>
      <c r="U473" s="60">
        <f t="shared" si="334"/>
        <v>335396.90000000002</v>
      </c>
      <c r="V473" s="61"/>
      <c r="W473" s="62">
        <f t="shared" si="335"/>
        <v>13782392.199999999</v>
      </c>
      <c r="X473" s="60" t="s">
        <v>18</v>
      </c>
      <c r="Y473" s="59">
        <v>0</v>
      </c>
      <c r="Z473" s="59">
        <v>0</v>
      </c>
      <c r="AA473" s="59">
        <v>0</v>
      </c>
      <c r="AB473" s="54">
        <f t="shared" si="336"/>
        <v>13782392.199999999</v>
      </c>
    </row>
    <row r="474" spans="1:28" s="31" customFormat="1" ht="52.5" customHeight="1" x14ac:dyDescent="0.35">
      <c r="A474" s="31">
        <v>2019</v>
      </c>
      <c r="B474" s="53">
        <f>IF(OR(E474=0,E474=""),"",COUNTA($E$307:E474))</f>
        <v>151</v>
      </c>
      <c r="C474" s="53" t="s">
        <v>441</v>
      </c>
      <c r="D474" s="58" t="s">
        <v>957</v>
      </c>
      <c r="E474" s="59">
        <v>1964</v>
      </c>
      <c r="F474" s="60">
        <v>3825.3</v>
      </c>
      <c r="G474" s="60">
        <v>2599.9</v>
      </c>
      <c r="H474" s="60">
        <v>284</v>
      </c>
      <c r="I474" s="60" t="s">
        <v>36</v>
      </c>
      <c r="J474" s="60"/>
      <c r="K474" s="60"/>
      <c r="L474" s="60"/>
      <c r="M474" s="60"/>
      <c r="N474" s="60"/>
      <c r="O474" s="60"/>
      <c r="P474" s="60">
        <f t="shared" si="332"/>
        <v>7543491.5999999996</v>
      </c>
      <c r="Q474" s="60"/>
      <c r="R474" s="60">
        <f t="shared" si="333"/>
        <v>7333100.0999999996</v>
      </c>
      <c r="S474" s="60"/>
      <c r="T474" s="60"/>
      <c r="U474" s="60">
        <f t="shared" si="334"/>
        <v>371054.1</v>
      </c>
      <c r="V474" s="61"/>
      <c r="W474" s="62">
        <f t="shared" si="335"/>
        <v>15247645.800000001</v>
      </c>
      <c r="X474" s="60" t="s">
        <v>18</v>
      </c>
      <c r="Y474" s="59">
        <v>0</v>
      </c>
      <c r="Z474" s="59">
        <v>0</v>
      </c>
      <c r="AA474" s="59">
        <v>0</v>
      </c>
      <c r="AB474" s="54">
        <f t="shared" si="336"/>
        <v>15247645.800000001</v>
      </c>
    </row>
    <row r="475" spans="1:28" s="31" customFormat="1" ht="52.5" customHeight="1" x14ac:dyDescent="0.35">
      <c r="A475" s="31">
        <v>2019</v>
      </c>
      <c r="B475" s="53">
        <f>IF(OR(E475=0,E475=""),"",COUNTA($E$307:E475))</f>
        <v>152</v>
      </c>
      <c r="C475" s="53" t="s">
        <v>443</v>
      </c>
      <c r="D475" s="58" t="s">
        <v>958</v>
      </c>
      <c r="E475" s="59">
        <v>1963</v>
      </c>
      <c r="F475" s="60">
        <v>3286.6</v>
      </c>
      <c r="G475" s="60">
        <v>2394.3000000000002</v>
      </c>
      <c r="H475" s="60">
        <v>163.30000000000001</v>
      </c>
      <c r="I475" s="60" t="s">
        <v>36</v>
      </c>
      <c r="J475" s="60"/>
      <c r="K475" s="60"/>
      <c r="L475" s="60"/>
      <c r="M475" s="60"/>
      <c r="N475" s="60"/>
      <c r="O475" s="60"/>
      <c r="P475" s="60">
        <f t="shared" si="332"/>
        <v>6481175.2000000002</v>
      </c>
      <c r="Q475" s="60"/>
      <c r="R475" s="60">
        <f t="shared" si="333"/>
        <v>6300412.2000000002</v>
      </c>
      <c r="S475" s="60"/>
      <c r="T475" s="60"/>
      <c r="U475" s="60">
        <f t="shared" si="334"/>
        <v>318800.2</v>
      </c>
      <c r="V475" s="61"/>
      <c r="W475" s="62">
        <f t="shared" si="335"/>
        <v>13100387.6</v>
      </c>
      <c r="X475" s="60" t="s">
        <v>18</v>
      </c>
      <c r="Y475" s="59">
        <v>0</v>
      </c>
      <c r="Z475" s="59">
        <v>0</v>
      </c>
      <c r="AA475" s="59">
        <v>0</v>
      </c>
      <c r="AB475" s="54">
        <f t="shared" si="336"/>
        <v>13100387.6</v>
      </c>
    </row>
    <row r="476" spans="1:28" s="31" customFormat="1" ht="52.5" customHeight="1" x14ac:dyDescent="0.35">
      <c r="A476" s="31">
        <v>2019</v>
      </c>
      <c r="B476" s="53">
        <f>IF(OR(E476=0,E476=""),"",COUNTA($E$307:E476))</f>
        <v>153</v>
      </c>
      <c r="C476" s="53" t="s">
        <v>444</v>
      </c>
      <c r="D476" s="58" t="s">
        <v>959</v>
      </c>
      <c r="E476" s="59">
        <v>1963</v>
      </c>
      <c r="F476" s="60">
        <v>3458.9</v>
      </c>
      <c r="G476" s="60">
        <v>2537.3000000000002</v>
      </c>
      <c r="H476" s="60">
        <v>13.2</v>
      </c>
      <c r="I476" s="60" t="s">
        <v>36</v>
      </c>
      <c r="J476" s="60"/>
      <c r="K476" s="60"/>
      <c r="L476" s="60"/>
      <c r="M476" s="60"/>
      <c r="N476" s="60"/>
      <c r="O476" s="60"/>
      <c r="P476" s="60">
        <f t="shared" si="332"/>
        <v>6820950.7999999998</v>
      </c>
      <c r="Q476" s="60"/>
      <c r="R476" s="60">
        <f t="shared" si="333"/>
        <v>6630711.2999999998</v>
      </c>
      <c r="S476" s="60"/>
      <c r="T476" s="60"/>
      <c r="U476" s="60"/>
      <c r="V476" s="61"/>
      <c r="W476" s="62">
        <f t="shared" si="335"/>
        <v>13451662.1</v>
      </c>
      <c r="X476" s="60" t="s">
        <v>18</v>
      </c>
      <c r="Y476" s="59">
        <v>0</v>
      </c>
      <c r="Z476" s="59">
        <v>0</v>
      </c>
      <c r="AA476" s="59">
        <v>0</v>
      </c>
      <c r="AB476" s="54">
        <f t="shared" si="336"/>
        <v>13451662.1</v>
      </c>
    </row>
    <row r="477" spans="1:28" s="31" customFormat="1" ht="52.5" customHeight="1" x14ac:dyDescent="0.35">
      <c r="A477" s="31">
        <v>2019</v>
      </c>
      <c r="B477" s="53">
        <f>IF(OR(E477=0,E477=""),"",COUNTA($E$307:E477))</f>
        <v>154</v>
      </c>
      <c r="C477" s="53" t="s">
        <v>445</v>
      </c>
      <c r="D477" s="58" t="s">
        <v>960</v>
      </c>
      <c r="E477" s="59">
        <v>1965</v>
      </c>
      <c r="F477" s="60">
        <v>1763.1</v>
      </c>
      <c r="G477" s="60">
        <v>1223</v>
      </c>
      <c r="H477" s="60">
        <v>93.7</v>
      </c>
      <c r="I477" s="60" t="s">
        <v>36</v>
      </c>
      <c r="J477" s="60"/>
      <c r="K477" s="60"/>
      <c r="L477" s="60"/>
      <c r="M477" s="60"/>
      <c r="N477" s="60"/>
      <c r="O477" s="60"/>
      <c r="P477" s="60">
        <f t="shared" si="332"/>
        <v>3476833.2</v>
      </c>
      <c r="Q477" s="60"/>
      <c r="R477" s="60">
        <f t="shared" si="333"/>
        <v>3379862.7</v>
      </c>
      <c r="S477" s="60"/>
      <c r="T477" s="60"/>
      <c r="U477" s="60">
        <f t="shared" si="334"/>
        <v>171020.7</v>
      </c>
      <c r="V477" s="61"/>
      <c r="W477" s="62">
        <f t="shared" si="335"/>
        <v>7027716.5999999996</v>
      </c>
      <c r="X477" s="60" t="s">
        <v>18</v>
      </c>
      <c r="Y477" s="59">
        <v>0</v>
      </c>
      <c r="Z477" s="59">
        <v>0</v>
      </c>
      <c r="AA477" s="59">
        <v>0</v>
      </c>
      <c r="AB477" s="54">
        <f t="shared" si="336"/>
        <v>7027716.5999999996</v>
      </c>
    </row>
    <row r="478" spans="1:28" s="31" customFormat="1" ht="52.5" customHeight="1" x14ac:dyDescent="0.35">
      <c r="A478" s="31">
        <v>2019</v>
      </c>
      <c r="B478" s="53">
        <f>IF(OR(E478=0,E478=""),"",COUNTA($E$307:E478))</f>
        <v>155</v>
      </c>
      <c r="C478" s="53" t="s">
        <v>425</v>
      </c>
      <c r="D478" s="58" t="s">
        <v>961</v>
      </c>
      <c r="E478" s="59">
        <v>1964</v>
      </c>
      <c r="F478" s="60">
        <v>1614.5</v>
      </c>
      <c r="G478" s="60">
        <v>1190.8</v>
      </c>
      <c r="H478" s="60">
        <v>80.8</v>
      </c>
      <c r="I478" s="60" t="s">
        <v>36</v>
      </c>
      <c r="J478" s="60"/>
      <c r="K478" s="60"/>
      <c r="L478" s="60"/>
      <c r="M478" s="60"/>
      <c r="N478" s="60"/>
      <c r="O478" s="60"/>
      <c r="P478" s="60">
        <f t="shared" si="332"/>
        <v>3183794</v>
      </c>
      <c r="Q478" s="60"/>
      <c r="R478" s="60">
        <f t="shared" si="333"/>
        <v>3094996.5</v>
      </c>
      <c r="S478" s="60"/>
      <c r="T478" s="60"/>
      <c r="U478" s="60">
        <f t="shared" si="334"/>
        <v>156606.5</v>
      </c>
      <c r="V478" s="61"/>
      <c r="W478" s="62">
        <f t="shared" si="335"/>
        <v>6435397</v>
      </c>
      <c r="X478" s="60" t="s">
        <v>18</v>
      </c>
      <c r="Y478" s="59">
        <v>0</v>
      </c>
      <c r="Z478" s="59">
        <v>0</v>
      </c>
      <c r="AA478" s="59">
        <v>0</v>
      </c>
      <c r="AB478" s="54">
        <f t="shared" si="336"/>
        <v>6435397</v>
      </c>
    </row>
    <row r="479" spans="1:28" s="31" customFormat="1" ht="52.5" customHeight="1" x14ac:dyDescent="0.35">
      <c r="A479" s="31">
        <v>2019</v>
      </c>
      <c r="B479" s="53">
        <f>IF(OR(E479=0,E479=""),"",COUNTA($E$307:E479))</f>
        <v>156</v>
      </c>
      <c r="C479" s="53" t="s">
        <v>457</v>
      </c>
      <c r="D479" s="58" t="s">
        <v>962</v>
      </c>
      <c r="E479" s="59">
        <v>1964</v>
      </c>
      <c r="F479" s="60">
        <v>1366.3</v>
      </c>
      <c r="G479" s="60">
        <v>1270.4000000000001</v>
      </c>
      <c r="H479" s="60">
        <v>0</v>
      </c>
      <c r="I479" s="60" t="s">
        <v>36</v>
      </c>
      <c r="J479" s="60"/>
      <c r="K479" s="60"/>
      <c r="L479" s="60"/>
      <c r="M479" s="60"/>
      <c r="N479" s="60"/>
      <c r="O479" s="60"/>
      <c r="P479" s="60">
        <f t="shared" si="332"/>
        <v>2694343.6</v>
      </c>
      <c r="Q479" s="60"/>
      <c r="R479" s="60">
        <f t="shared" si="333"/>
        <v>2619197.1</v>
      </c>
      <c r="S479" s="60"/>
      <c r="T479" s="60"/>
      <c r="U479" s="60">
        <f t="shared" si="334"/>
        <v>132531.1</v>
      </c>
      <c r="V479" s="61"/>
      <c r="W479" s="62">
        <f t="shared" si="335"/>
        <v>5446071.7999999998</v>
      </c>
      <c r="X479" s="60" t="s">
        <v>18</v>
      </c>
      <c r="Y479" s="59">
        <v>0</v>
      </c>
      <c r="Z479" s="59">
        <v>0</v>
      </c>
      <c r="AA479" s="59">
        <v>0</v>
      </c>
      <c r="AB479" s="54">
        <f t="shared" si="336"/>
        <v>5446071.7999999998</v>
      </c>
    </row>
    <row r="480" spans="1:28" s="31" customFormat="1" ht="52.5" customHeight="1" x14ac:dyDescent="0.35">
      <c r="A480" s="31">
        <v>2019</v>
      </c>
      <c r="B480" s="53">
        <f>IF(OR(E480=0,E480=""),"",COUNTA($E$307:E480))</f>
        <v>157</v>
      </c>
      <c r="C480" s="53" t="s">
        <v>283</v>
      </c>
      <c r="D480" s="58" t="s">
        <v>963</v>
      </c>
      <c r="E480" s="59">
        <v>1963</v>
      </c>
      <c r="F480" s="60">
        <v>4356.5</v>
      </c>
      <c r="G480" s="60">
        <v>2505.5</v>
      </c>
      <c r="H480" s="60">
        <v>1409.8</v>
      </c>
      <c r="I480" s="60" t="s">
        <v>33</v>
      </c>
      <c r="J480" s="60"/>
      <c r="K480" s="60"/>
      <c r="L480" s="60"/>
      <c r="M480" s="60"/>
      <c r="N480" s="60"/>
      <c r="O480" s="60"/>
      <c r="P480" s="60">
        <f t="shared" si="332"/>
        <v>8591018</v>
      </c>
      <c r="Q480" s="60"/>
      <c r="R480" s="60">
        <f t="shared" si="333"/>
        <v>8351410.5</v>
      </c>
      <c r="S480" s="60"/>
      <c r="T480" s="60"/>
      <c r="U480" s="60">
        <f t="shared" si="334"/>
        <v>422580.5</v>
      </c>
      <c r="V480" s="61"/>
      <c r="W480" s="62">
        <f t="shared" ref="W480:W510" si="337">V480+U480+T480+S480+R480+Q480+P480+O480+N480+M480+L480+K480+J480</f>
        <v>17365009</v>
      </c>
      <c r="X480" s="60" t="s">
        <v>18</v>
      </c>
      <c r="Y480" s="59">
        <v>0</v>
      </c>
      <c r="Z480" s="59">
        <v>0</v>
      </c>
      <c r="AA480" s="59">
        <v>0</v>
      </c>
      <c r="AB480" s="54">
        <f t="shared" ref="AB480:AB510" si="338">W480-(Y480+Z480+AA480)</f>
        <v>17365009</v>
      </c>
    </row>
    <row r="481" spans="1:28" s="31" customFormat="1" ht="52.5" customHeight="1" x14ac:dyDescent="0.35">
      <c r="A481" s="31">
        <v>2019</v>
      </c>
      <c r="B481" s="53">
        <f>IF(OR(E481=0,E481=""),"",COUNTA($E$307:E481))</f>
        <v>158</v>
      </c>
      <c r="C481" s="53" t="s">
        <v>288</v>
      </c>
      <c r="D481" s="58" t="s">
        <v>964</v>
      </c>
      <c r="E481" s="59">
        <v>1964</v>
      </c>
      <c r="F481" s="60">
        <v>3439.1</v>
      </c>
      <c r="G481" s="60">
        <v>2567.1999999999998</v>
      </c>
      <c r="H481" s="60">
        <v>0</v>
      </c>
      <c r="I481" s="60" t="s">
        <v>33</v>
      </c>
      <c r="J481" s="60"/>
      <c r="K481" s="60"/>
      <c r="L481" s="60"/>
      <c r="M481" s="60"/>
      <c r="N481" s="60"/>
      <c r="O481" s="60"/>
      <c r="P481" s="60">
        <f t="shared" si="332"/>
        <v>6781905.2000000002</v>
      </c>
      <c r="Q481" s="60"/>
      <c r="R481" s="60">
        <f t="shared" si="333"/>
        <v>6592754.7000000002</v>
      </c>
      <c r="S481" s="60"/>
      <c r="T481" s="60"/>
      <c r="U481" s="60">
        <f t="shared" si="334"/>
        <v>333592.7</v>
      </c>
      <c r="V481" s="61"/>
      <c r="W481" s="62">
        <f t="shared" si="337"/>
        <v>13708252.6</v>
      </c>
      <c r="X481" s="60" t="s">
        <v>18</v>
      </c>
      <c r="Y481" s="59">
        <v>0</v>
      </c>
      <c r="Z481" s="59">
        <v>0</v>
      </c>
      <c r="AA481" s="59">
        <v>0</v>
      </c>
      <c r="AB481" s="54">
        <f t="shared" si="338"/>
        <v>13708252.6</v>
      </c>
    </row>
    <row r="482" spans="1:28" s="31" customFormat="1" ht="52.5" customHeight="1" x14ac:dyDescent="0.35">
      <c r="A482" s="31">
        <v>2019</v>
      </c>
      <c r="B482" s="53">
        <f>IF(OR(E482=0,E482=""),"",COUNTA($E$307:E482))</f>
        <v>159</v>
      </c>
      <c r="C482" s="53" t="s">
        <v>333</v>
      </c>
      <c r="D482" s="58" t="s">
        <v>965</v>
      </c>
      <c r="E482" s="59">
        <v>1963</v>
      </c>
      <c r="F482" s="60">
        <v>1156.5999999999999</v>
      </c>
      <c r="G482" s="60">
        <v>726</v>
      </c>
      <c r="H482" s="60">
        <v>430</v>
      </c>
      <c r="I482" s="60" t="s">
        <v>35</v>
      </c>
      <c r="J482" s="60"/>
      <c r="K482" s="60"/>
      <c r="L482" s="60"/>
      <c r="M482" s="60"/>
      <c r="N482" s="60"/>
      <c r="O482" s="60"/>
      <c r="P482" s="60">
        <f>1919*F482</f>
        <v>2219515.4</v>
      </c>
      <c r="Q482" s="60"/>
      <c r="R482" s="60">
        <f>1853*F482</f>
        <v>2143179.7999999998</v>
      </c>
      <c r="S482" s="60"/>
      <c r="T482" s="60"/>
      <c r="U482" s="60">
        <f>119*F482</f>
        <v>137635.4</v>
      </c>
      <c r="V482" s="60"/>
      <c r="W482" s="62">
        <f t="shared" si="337"/>
        <v>4500330.5999999996</v>
      </c>
      <c r="X482" s="60" t="s">
        <v>18</v>
      </c>
      <c r="Y482" s="59">
        <v>0</v>
      </c>
      <c r="Z482" s="59">
        <v>0</v>
      </c>
      <c r="AA482" s="59">
        <v>0</v>
      </c>
      <c r="AB482" s="54">
        <f t="shared" si="338"/>
        <v>4500330.5999999996</v>
      </c>
    </row>
    <row r="483" spans="1:28" s="31" customFormat="1" ht="52.5" customHeight="1" x14ac:dyDescent="0.35">
      <c r="A483" s="31">
        <v>2019</v>
      </c>
      <c r="B483" s="53">
        <f>IF(OR(E483=0,E483=""),"",COUNTA($E$307:E483))</f>
        <v>160</v>
      </c>
      <c r="C483" s="53" t="s">
        <v>346</v>
      </c>
      <c r="D483" s="58" t="s">
        <v>966</v>
      </c>
      <c r="E483" s="59">
        <v>1963</v>
      </c>
      <c r="F483" s="60">
        <v>3525.8</v>
      </c>
      <c r="G483" s="60">
        <v>2586</v>
      </c>
      <c r="H483" s="60">
        <v>40.9</v>
      </c>
      <c r="I483" s="60" t="s">
        <v>33</v>
      </c>
      <c r="J483" s="60"/>
      <c r="K483" s="60"/>
      <c r="L483" s="60"/>
      <c r="M483" s="60"/>
      <c r="N483" s="60"/>
      <c r="O483" s="60"/>
      <c r="P483" s="60">
        <f t="shared" ref="P483:P499" si="339">1972*F483</f>
        <v>6952877.5999999996</v>
      </c>
      <c r="Q483" s="60"/>
      <c r="R483" s="60">
        <f t="shared" ref="R483:R499" si="340">1917*F483</f>
        <v>6758958.5999999996</v>
      </c>
      <c r="S483" s="60"/>
      <c r="T483" s="60"/>
      <c r="U483" s="60">
        <f t="shared" ref="U483:U497" si="341">97*F483</f>
        <v>342002.6</v>
      </c>
      <c r="V483" s="61"/>
      <c r="W483" s="62">
        <f t="shared" si="337"/>
        <v>14053838.800000001</v>
      </c>
      <c r="X483" s="60" t="s">
        <v>18</v>
      </c>
      <c r="Y483" s="59">
        <v>0</v>
      </c>
      <c r="Z483" s="59">
        <v>0</v>
      </c>
      <c r="AA483" s="59">
        <v>0</v>
      </c>
      <c r="AB483" s="54">
        <f t="shared" si="338"/>
        <v>14053838.800000001</v>
      </c>
    </row>
    <row r="484" spans="1:28" s="31" customFormat="1" ht="52.5" customHeight="1" x14ac:dyDescent="0.35">
      <c r="A484" s="31">
        <v>2019</v>
      </c>
      <c r="B484" s="53">
        <f>IF(OR(E484=0,E484=""),"",COUNTA($E$307:E484))</f>
        <v>161</v>
      </c>
      <c r="C484" s="53" t="s">
        <v>351</v>
      </c>
      <c r="D484" s="58" t="s">
        <v>967</v>
      </c>
      <c r="E484" s="59">
        <v>1963</v>
      </c>
      <c r="F484" s="60">
        <v>3411.88</v>
      </c>
      <c r="G484" s="60">
        <v>2561.88</v>
      </c>
      <c r="H484" s="60">
        <v>0</v>
      </c>
      <c r="I484" s="60" t="s">
        <v>33</v>
      </c>
      <c r="J484" s="60"/>
      <c r="K484" s="60"/>
      <c r="L484" s="60"/>
      <c r="M484" s="60"/>
      <c r="N484" s="60"/>
      <c r="O484" s="60"/>
      <c r="P484" s="60">
        <f t="shared" si="339"/>
        <v>6728227.3600000003</v>
      </c>
      <c r="Q484" s="60"/>
      <c r="R484" s="60">
        <f t="shared" si="340"/>
        <v>6540573.96</v>
      </c>
      <c r="S484" s="60"/>
      <c r="T484" s="60"/>
      <c r="U484" s="60">
        <f t="shared" si="341"/>
        <v>330952.36</v>
      </c>
      <c r="V484" s="61"/>
      <c r="W484" s="62">
        <f t="shared" si="337"/>
        <v>13599753.68</v>
      </c>
      <c r="X484" s="60" t="s">
        <v>18</v>
      </c>
      <c r="Y484" s="59">
        <v>0</v>
      </c>
      <c r="Z484" s="59">
        <v>0</v>
      </c>
      <c r="AA484" s="59">
        <v>0</v>
      </c>
      <c r="AB484" s="54">
        <f t="shared" si="338"/>
        <v>13599753.68</v>
      </c>
    </row>
    <row r="485" spans="1:28" s="31" customFormat="1" ht="52.5" customHeight="1" x14ac:dyDescent="0.35">
      <c r="A485" s="31">
        <v>2019</v>
      </c>
      <c r="B485" s="53">
        <f>IF(OR(E485=0,E485=""),"",COUNTA($E$307:E485))</f>
        <v>162</v>
      </c>
      <c r="C485" s="53" t="s">
        <v>355</v>
      </c>
      <c r="D485" s="58" t="s">
        <v>968</v>
      </c>
      <c r="E485" s="59">
        <v>1965</v>
      </c>
      <c r="F485" s="60">
        <v>5766.2</v>
      </c>
      <c r="G485" s="60">
        <v>2499.1</v>
      </c>
      <c r="H485" s="60">
        <v>2012.2</v>
      </c>
      <c r="I485" s="60" t="s">
        <v>33</v>
      </c>
      <c r="J485" s="60"/>
      <c r="K485" s="60"/>
      <c r="L485" s="60"/>
      <c r="M485" s="60"/>
      <c r="N485" s="60"/>
      <c r="O485" s="60"/>
      <c r="P485" s="60">
        <f t="shared" si="339"/>
        <v>11370946.4</v>
      </c>
      <c r="Q485" s="60"/>
      <c r="R485" s="60">
        <f t="shared" si="340"/>
        <v>11053805.4</v>
      </c>
      <c r="S485" s="60"/>
      <c r="T485" s="60"/>
      <c r="U485" s="60">
        <f t="shared" si="341"/>
        <v>559321.4</v>
      </c>
      <c r="V485" s="61"/>
      <c r="W485" s="62">
        <f t="shared" si="337"/>
        <v>22984073.199999999</v>
      </c>
      <c r="X485" s="60" t="s">
        <v>18</v>
      </c>
      <c r="Y485" s="59">
        <v>0</v>
      </c>
      <c r="Z485" s="59">
        <v>0</v>
      </c>
      <c r="AA485" s="59">
        <v>0</v>
      </c>
      <c r="AB485" s="54">
        <f t="shared" si="338"/>
        <v>22984073.199999999</v>
      </c>
    </row>
    <row r="486" spans="1:28" s="31" customFormat="1" ht="52.5" customHeight="1" x14ac:dyDescent="0.35">
      <c r="A486" s="31">
        <v>2019</v>
      </c>
      <c r="B486" s="53">
        <f>IF(OR(E486=0,E486=""),"",COUNTA($E$307:E486))</f>
        <v>163</v>
      </c>
      <c r="C486" s="53" t="s">
        <v>359</v>
      </c>
      <c r="D486" s="58" t="s">
        <v>969</v>
      </c>
      <c r="E486" s="59">
        <v>1964</v>
      </c>
      <c r="F486" s="60">
        <v>2120.6</v>
      </c>
      <c r="G486" s="60">
        <v>1988.7</v>
      </c>
      <c r="H486" s="60">
        <v>0</v>
      </c>
      <c r="I486" s="60" t="s">
        <v>36</v>
      </c>
      <c r="J486" s="60"/>
      <c r="K486" s="60"/>
      <c r="L486" s="60"/>
      <c r="M486" s="60"/>
      <c r="N486" s="60"/>
      <c r="O486" s="60"/>
      <c r="P486" s="60">
        <f t="shared" si="339"/>
        <v>4181823.2</v>
      </c>
      <c r="Q486" s="60"/>
      <c r="R486" s="60">
        <f t="shared" si="340"/>
        <v>4065190.2</v>
      </c>
      <c r="S486" s="60"/>
      <c r="T486" s="60"/>
      <c r="U486" s="60">
        <f t="shared" si="341"/>
        <v>205698.2</v>
      </c>
      <c r="V486" s="61"/>
      <c r="W486" s="62">
        <f t="shared" si="337"/>
        <v>8452711.5999999996</v>
      </c>
      <c r="X486" s="60" t="s">
        <v>18</v>
      </c>
      <c r="Y486" s="59">
        <v>0</v>
      </c>
      <c r="Z486" s="59">
        <v>0</v>
      </c>
      <c r="AA486" s="59">
        <v>0</v>
      </c>
      <c r="AB486" s="54">
        <f t="shared" si="338"/>
        <v>8452711.5999999996</v>
      </c>
    </row>
    <row r="487" spans="1:28" s="31" customFormat="1" ht="52.5" customHeight="1" x14ac:dyDescent="0.35">
      <c r="A487" s="31">
        <v>2019</v>
      </c>
      <c r="B487" s="53">
        <f>IF(OR(E487=0,E487=""),"",COUNTA($E$307:E487))</f>
        <v>164</v>
      </c>
      <c r="C487" s="53" t="s">
        <v>409</v>
      </c>
      <c r="D487" s="58" t="s">
        <v>970</v>
      </c>
      <c r="E487" s="59">
        <v>1965</v>
      </c>
      <c r="F487" s="60">
        <v>4658.8999999999996</v>
      </c>
      <c r="G487" s="60">
        <v>3510.2</v>
      </c>
      <c r="H487" s="60">
        <v>0</v>
      </c>
      <c r="I487" s="60" t="s">
        <v>33</v>
      </c>
      <c r="J487" s="60"/>
      <c r="K487" s="60"/>
      <c r="L487" s="60"/>
      <c r="M487" s="60"/>
      <c r="N487" s="60"/>
      <c r="O487" s="60"/>
      <c r="P487" s="60">
        <f t="shared" si="339"/>
        <v>9187350.8000000007</v>
      </c>
      <c r="Q487" s="60"/>
      <c r="R487" s="60">
        <f t="shared" si="340"/>
        <v>8931111.3000000007</v>
      </c>
      <c r="S487" s="60"/>
      <c r="T487" s="60"/>
      <c r="U487" s="60">
        <f t="shared" si="341"/>
        <v>451913.3</v>
      </c>
      <c r="V487" s="61"/>
      <c r="W487" s="62">
        <f t="shared" si="337"/>
        <v>18570375.399999999</v>
      </c>
      <c r="X487" s="60" t="s">
        <v>18</v>
      </c>
      <c r="Y487" s="59">
        <v>0</v>
      </c>
      <c r="Z487" s="59">
        <v>0</v>
      </c>
      <c r="AA487" s="59">
        <v>0</v>
      </c>
      <c r="AB487" s="54">
        <f t="shared" si="338"/>
        <v>18570375.399999999</v>
      </c>
    </row>
    <row r="488" spans="1:28" s="31" customFormat="1" ht="52.5" customHeight="1" x14ac:dyDescent="0.35">
      <c r="A488" s="31">
        <v>2019</v>
      </c>
      <c r="B488" s="53">
        <f>IF(OR(E488=0,E488=""),"",COUNTA($E$307:E488))</f>
        <v>165</v>
      </c>
      <c r="C488" s="53" t="s">
        <v>410</v>
      </c>
      <c r="D488" s="58" t="s">
        <v>971</v>
      </c>
      <c r="E488" s="59">
        <v>1964</v>
      </c>
      <c r="F488" s="60">
        <v>2902.9</v>
      </c>
      <c r="G488" s="60">
        <v>2601.5</v>
      </c>
      <c r="H488" s="60">
        <v>93.2</v>
      </c>
      <c r="I488" s="60" t="s">
        <v>33</v>
      </c>
      <c r="J488" s="60"/>
      <c r="K488" s="60"/>
      <c r="L488" s="60"/>
      <c r="M488" s="60"/>
      <c r="N488" s="60"/>
      <c r="O488" s="60"/>
      <c r="P488" s="60">
        <f t="shared" si="339"/>
        <v>5724518.7999999998</v>
      </c>
      <c r="Q488" s="60"/>
      <c r="R488" s="60">
        <f t="shared" si="340"/>
        <v>5564859.2999999998</v>
      </c>
      <c r="S488" s="60"/>
      <c r="T488" s="60"/>
      <c r="U488" s="60">
        <f t="shared" si="341"/>
        <v>281581.3</v>
      </c>
      <c r="V488" s="61"/>
      <c r="W488" s="62">
        <f t="shared" si="337"/>
        <v>11570959.4</v>
      </c>
      <c r="X488" s="60" t="s">
        <v>18</v>
      </c>
      <c r="Y488" s="59">
        <v>0</v>
      </c>
      <c r="Z488" s="59">
        <v>0</v>
      </c>
      <c r="AA488" s="59">
        <v>0</v>
      </c>
      <c r="AB488" s="54">
        <f t="shared" si="338"/>
        <v>11570959.4</v>
      </c>
    </row>
    <row r="489" spans="1:28" s="31" customFormat="1" ht="52.5" customHeight="1" x14ac:dyDescent="0.35">
      <c r="A489" s="31">
        <v>2019</v>
      </c>
      <c r="B489" s="53">
        <f>IF(OR(E489=0,E489=""),"",COUNTA($E$307:E489))</f>
        <v>166</v>
      </c>
      <c r="C489" s="53" t="s">
        <v>411</v>
      </c>
      <c r="D489" s="58" t="s">
        <v>972</v>
      </c>
      <c r="E489" s="59">
        <v>1965</v>
      </c>
      <c r="F489" s="60">
        <v>4661.1000000000004</v>
      </c>
      <c r="G489" s="60">
        <v>3509.4</v>
      </c>
      <c r="H489" s="60">
        <v>0</v>
      </c>
      <c r="I489" s="60" t="s">
        <v>33</v>
      </c>
      <c r="J489" s="60"/>
      <c r="K489" s="60"/>
      <c r="L489" s="60"/>
      <c r="M489" s="60"/>
      <c r="N489" s="60"/>
      <c r="O489" s="60"/>
      <c r="P489" s="60">
        <f t="shared" si="339"/>
        <v>9191689.1999999993</v>
      </c>
      <c r="Q489" s="60"/>
      <c r="R489" s="60">
        <f t="shared" si="340"/>
        <v>8935328.6999999993</v>
      </c>
      <c r="S489" s="60"/>
      <c r="T489" s="60"/>
      <c r="U489" s="60">
        <f t="shared" si="341"/>
        <v>452126.7</v>
      </c>
      <c r="V489" s="61"/>
      <c r="W489" s="62">
        <f t="shared" si="337"/>
        <v>18579144.600000001</v>
      </c>
      <c r="X489" s="60" t="s">
        <v>18</v>
      </c>
      <c r="Y489" s="59">
        <v>0</v>
      </c>
      <c r="Z489" s="59">
        <v>0</v>
      </c>
      <c r="AA489" s="59">
        <v>0</v>
      </c>
      <c r="AB489" s="54">
        <f t="shared" si="338"/>
        <v>18579144.600000001</v>
      </c>
    </row>
    <row r="490" spans="1:28" s="31" customFormat="1" ht="52.5" customHeight="1" x14ac:dyDescent="0.35">
      <c r="A490" s="31">
        <v>2019</v>
      </c>
      <c r="B490" s="53">
        <f>IF(OR(E490=0,E490=""),"",COUNTA($E$307:E490))</f>
        <v>167</v>
      </c>
      <c r="C490" s="53" t="s">
        <v>412</v>
      </c>
      <c r="D490" s="58" t="s">
        <v>973</v>
      </c>
      <c r="E490" s="59">
        <v>1965</v>
      </c>
      <c r="F490" s="60">
        <v>4642</v>
      </c>
      <c r="G490" s="60">
        <v>3495</v>
      </c>
      <c r="H490" s="60">
        <v>0</v>
      </c>
      <c r="I490" s="60" t="s">
        <v>33</v>
      </c>
      <c r="J490" s="60"/>
      <c r="K490" s="60"/>
      <c r="L490" s="60"/>
      <c r="M490" s="60"/>
      <c r="N490" s="60"/>
      <c r="O490" s="60"/>
      <c r="P490" s="60">
        <f t="shared" si="339"/>
        <v>9154024</v>
      </c>
      <c r="Q490" s="60"/>
      <c r="R490" s="60">
        <f t="shared" si="340"/>
        <v>8898714</v>
      </c>
      <c r="S490" s="60"/>
      <c r="T490" s="60"/>
      <c r="U490" s="60">
        <f t="shared" si="341"/>
        <v>450274</v>
      </c>
      <c r="V490" s="61"/>
      <c r="W490" s="62">
        <f t="shared" si="337"/>
        <v>18503012</v>
      </c>
      <c r="X490" s="60" t="s">
        <v>18</v>
      </c>
      <c r="Y490" s="59">
        <v>0</v>
      </c>
      <c r="Z490" s="59">
        <v>0</v>
      </c>
      <c r="AA490" s="59">
        <v>0</v>
      </c>
      <c r="AB490" s="54">
        <f t="shared" si="338"/>
        <v>18503012</v>
      </c>
    </row>
    <row r="491" spans="1:28" s="31" customFormat="1" ht="52.5" customHeight="1" x14ac:dyDescent="0.35">
      <c r="A491" s="31">
        <v>2019</v>
      </c>
      <c r="B491" s="53">
        <f>IF(OR(E491=0,E491=""),"",COUNTA($E$307:E491))</f>
        <v>168</v>
      </c>
      <c r="C491" s="53" t="s">
        <v>386</v>
      </c>
      <c r="D491" s="58" t="s">
        <v>974</v>
      </c>
      <c r="E491" s="59">
        <v>1966</v>
      </c>
      <c r="F491" s="60">
        <v>4481.7</v>
      </c>
      <c r="G491" s="60">
        <v>3516.9</v>
      </c>
      <c r="H491" s="60">
        <v>964.8</v>
      </c>
      <c r="I491" s="60" t="s">
        <v>33</v>
      </c>
      <c r="J491" s="60"/>
      <c r="K491" s="60"/>
      <c r="L491" s="60"/>
      <c r="M491" s="60"/>
      <c r="N491" s="60"/>
      <c r="O491" s="60"/>
      <c r="P491" s="60">
        <f t="shared" si="339"/>
        <v>8837912.4000000004</v>
      </c>
      <c r="Q491" s="60"/>
      <c r="R491" s="60">
        <f t="shared" si="340"/>
        <v>8591418.9000000004</v>
      </c>
      <c r="S491" s="60"/>
      <c r="T491" s="60"/>
      <c r="U491" s="60"/>
      <c r="V491" s="61"/>
      <c r="W491" s="62">
        <f t="shared" si="337"/>
        <v>17429331.300000001</v>
      </c>
      <c r="X491" s="60" t="s">
        <v>18</v>
      </c>
      <c r="Y491" s="59">
        <v>0</v>
      </c>
      <c r="Z491" s="59">
        <v>0</v>
      </c>
      <c r="AA491" s="59">
        <v>0</v>
      </c>
      <c r="AB491" s="54">
        <f t="shared" si="338"/>
        <v>17429331.300000001</v>
      </c>
    </row>
    <row r="492" spans="1:28" s="31" customFormat="1" ht="52.5" customHeight="1" x14ac:dyDescent="0.35">
      <c r="A492" s="31">
        <v>2019</v>
      </c>
      <c r="B492" s="53">
        <f>IF(OR(E492=0,E492=""),"",COUNTA($E$307:E492))</f>
        <v>169</v>
      </c>
      <c r="C492" s="53" t="s">
        <v>387</v>
      </c>
      <c r="D492" s="58" t="s">
        <v>975</v>
      </c>
      <c r="E492" s="59">
        <v>1966</v>
      </c>
      <c r="F492" s="60">
        <v>4489.8</v>
      </c>
      <c r="G492" s="60">
        <v>3498.2</v>
      </c>
      <c r="H492" s="60">
        <v>991.6</v>
      </c>
      <c r="I492" s="60" t="s">
        <v>33</v>
      </c>
      <c r="J492" s="60"/>
      <c r="K492" s="60"/>
      <c r="L492" s="60"/>
      <c r="M492" s="60"/>
      <c r="N492" s="60"/>
      <c r="O492" s="60"/>
      <c r="P492" s="60">
        <f t="shared" si="339"/>
        <v>8853885.5999999996</v>
      </c>
      <c r="Q492" s="60"/>
      <c r="R492" s="60">
        <f t="shared" si="340"/>
        <v>8606946.5999999996</v>
      </c>
      <c r="S492" s="60"/>
      <c r="T492" s="60"/>
      <c r="U492" s="60"/>
      <c r="V492" s="61"/>
      <c r="W492" s="62">
        <f t="shared" si="337"/>
        <v>17460832.199999999</v>
      </c>
      <c r="X492" s="60" t="s">
        <v>18</v>
      </c>
      <c r="Y492" s="59">
        <v>0</v>
      </c>
      <c r="Z492" s="59">
        <v>0</v>
      </c>
      <c r="AA492" s="59">
        <v>0</v>
      </c>
      <c r="AB492" s="54">
        <f t="shared" si="338"/>
        <v>17460832.199999999</v>
      </c>
    </row>
    <row r="493" spans="1:28" s="31" customFormat="1" ht="52.5" customHeight="1" x14ac:dyDescent="0.35">
      <c r="A493" s="31">
        <v>2019</v>
      </c>
      <c r="B493" s="53">
        <f>IF(OR(E493=0,E493=""),"",COUNTA($E$307:E493))</f>
        <v>170</v>
      </c>
      <c r="C493" s="53" t="s">
        <v>395</v>
      </c>
      <c r="D493" s="58" t="s">
        <v>976</v>
      </c>
      <c r="E493" s="59">
        <v>1966</v>
      </c>
      <c r="F493" s="60">
        <v>4537.8</v>
      </c>
      <c r="G493" s="60">
        <v>3493.3</v>
      </c>
      <c r="H493" s="60">
        <v>967.6</v>
      </c>
      <c r="I493" s="60" t="s">
        <v>33</v>
      </c>
      <c r="J493" s="60"/>
      <c r="K493" s="60"/>
      <c r="L493" s="60"/>
      <c r="M493" s="60"/>
      <c r="N493" s="60"/>
      <c r="O493" s="60"/>
      <c r="P493" s="60">
        <f t="shared" si="339"/>
        <v>8948541.5999999996</v>
      </c>
      <c r="Q493" s="60"/>
      <c r="R493" s="60">
        <f t="shared" si="340"/>
        <v>8698962.5999999996</v>
      </c>
      <c r="S493" s="60"/>
      <c r="T493" s="60"/>
      <c r="U493" s="60"/>
      <c r="V493" s="61"/>
      <c r="W493" s="62">
        <f t="shared" si="337"/>
        <v>17647504.199999999</v>
      </c>
      <c r="X493" s="60" t="s">
        <v>18</v>
      </c>
      <c r="Y493" s="59">
        <v>0</v>
      </c>
      <c r="Z493" s="59">
        <v>0</v>
      </c>
      <c r="AA493" s="59">
        <v>0</v>
      </c>
      <c r="AB493" s="54">
        <f t="shared" si="338"/>
        <v>17647504.199999999</v>
      </c>
    </row>
    <row r="494" spans="1:28" s="31" customFormat="1" ht="52.5" customHeight="1" x14ac:dyDescent="0.35">
      <c r="A494" s="31">
        <v>2019</v>
      </c>
      <c r="B494" s="53">
        <f>IF(OR(E494=0,E494=""),"",COUNTA($E$307:E494))</f>
        <v>171</v>
      </c>
      <c r="C494" s="53" t="s">
        <v>396</v>
      </c>
      <c r="D494" s="58" t="s">
        <v>977</v>
      </c>
      <c r="E494" s="59">
        <v>1966</v>
      </c>
      <c r="F494" s="60">
        <v>4529</v>
      </c>
      <c r="G494" s="60">
        <v>3525.5</v>
      </c>
      <c r="H494" s="60">
        <v>1003.5</v>
      </c>
      <c r="I494" s="60" t="s">
        <v>33</v>
      </c>
      <c r="J494" s="60"/>
      <c r="K494" s="60"/>
      <c r="L494" s="60"/>
      <c r="M494" s="60"/>
      <c r="N494" s="60"/>
      <c r="O494" s="60"/>
      <c r="P494" s="60">
        <f t="shared" si="339"/>
        <v>8931188</v>
      </c>
      <c r="Q494" s="60"/>
      <c r="R494" s="60">
        <f t="shared" si="340"/>
        <v>8682093</v>
      </c>
      <c r="S494" s="60"/>
      <c r="T494" s="60"/>
      <c r="U494" s="60"/>
      <c r="V494" s="61"/>
      <c r="W494" s="62">
        <f t="shared" si="337"/>
        <v>17613281</v>
      </c>
      <c r="X494" s="60" t="s">
        <v>18</v>
      </c>
      <c r="Y494" s="59">
        <v>0</v>
      </c>
      <c r="Z494" s="59">
        <v>0</v>
      </c>
      <c r="AA494" s="59">
        <v>0</v>
      </c>
      <c r="AB494" s="54">
        <f t="shared" si="338"/>
        <v>17613281</v>
      </c>
    </row>
    <row r="495" spans="1:28" s="31" customFormat="1" ht="52.5" customHeight="1" x14ac:dyDescent="0.35">
      <c r="A495" s="31">
        <v>2019</v>
      </c>
      <c r="B495" s="53">
        <f>IF(OR(E495=0,E495=""),"",COUNTA($E$307:E495))</f>
        <v>172</v>
      </c>
      <c r="C495" s="53" t="s">
        <v>416</v>
      </c>
      <c r="D495" s="58" t="s">
        <v>978</v>
      </c>
      <c r="E495" s="59">
        <v>1966</v>
      </c>
      <c r="F495" s="60">
        <v>4715.5</v>
      </c>
      <c r="G495" s="60">
        <v>3534</v>
      </c>
      <c r="H495" s="60">
        <v>0</v>
      </c>
      <c r="I495" s="60" t="s">
        <v>33</v>
      </c>
      <c r="J495" s="60"/>
      <c r="K495" s="60"/>
      <c r="L495" s="60"/>
      <c r="M495" s="60"/>
      <c r="N495" s="60"/>
      <c r="O495" s="60"/>
      <c r="P495" s="60">
        <f t="shared" si="339"/>
        <v>9298966</v>
      </c>
      <c r="Q495" s="60"/>
      <c r="R495" s="60">
        <f t="shared" si="340"/>
        <v>9039613.5</v>
      </c>
      <c r="S495" s="60"/>
      <c r="T495" s="60"/>
      <c r="U495" s="60">
        <f t="shared" si="341"/>
        <v>457403.5</v>
      </c>
      <c r="V495" s="61"/>
      <c r="W495" s="62">
        <f t="shared" si="337"/>
        <v>18795983</v>
      </c>
      <c r="X495" s="60" t="s">
        <v>18</v>
      </c>
      <c r="Y495" s="59">
        <v>0</v>
      </c>
      <c r="Z495" s="59">
        <v>0</v>
      </c>
      <c r="AA495" s="59">
        <v>0</v>
      </c>
      <c r="AB495" s="54">
        <f t="shared" si="338"/>
        <v>18795983</v>
      </c>
    </row>
    <row r="496" spans="1:28" s="31" customFormat="1" ht="52.5" customHeight="1" x14ac:dyDescent="0.35">
      <c r="A496" s="31">
        <v>2019</v>
      </c>
      <c r="B496" s="53">
        <f>IF(OR(E496=0,E496=""),"",COUNTA($E$307:E496))</f>
        <v>173</v>
      </c>
      <c r="C496" s="53" t="s">
        <v>417</v>
      </c>
      <c r="D496" s="58" t="s">
        <v>979</v>
      </c>
      <c r="E496" s="59">
        <v>1966</v>
      </c>
      <c r="F496" s="60">
        <v>3491.6</v>
      </c>
      <c r="G496" s="60">
        <v>2584.9</v>
      </c>
      <c r="H496" s="60">
        <v>0</v>
      </c>
      <c r="I496" s="60" t="s">
        <v>33</v>
      </c>
      <c r="J496" s="60"/>
      <c r="K496" s="60"/>
      <c r="L496" s="60"/>
      <c r="M496" s="60"/>
      <c r="N496" s="60"/>
      <c r="O496" s="60"/>
      <c r="P496" s="60">
        <f t="shared" si="339"/>
        <v>6885435.2000000002</v>
      </c>
      <c r="Q496" s="60"/>
      <c r="R496" s="60">
        <f t="shared" si="340"/>
        <v>6693397.2000000002</v>
      </c>
      <c r="S496" s="60"/>
      <c r="T496" s="60"/>
      <c r="U496" s="60"/>
      <c r="V496" s="61"/>
      <c r="W496" s="62">
        <f t="shared" si="337"/>
        <v>13578832.4</v>
      </c>
      <c r="X496" s="60" t="s">
        <v>18</v>
      </c>
      <c r="Y496" s="59">
        <v>0</v>
      </c>
      <c r="Z496" s="59">
        <v>0</v>
      </c>
      <c r="AA496" s="59">
        <v>0</v>
      </c>
      <c r="AB496" s="54">
        <f t="shared" si="338"/>
        <v>13578832.4</v>
      </c>
    </row>
    <row r="497" spans="1:28" s="31" customFormat="1" ht="52.5" customHeight="1" x14ac:dyDescent="0.35">
      <c r="A497" s="31">
        <v>2019</v>
      </c>
      <c r="B497" s="53">
        <f>IF(OR(E497=0,E497=""),"",COUNTA($E$307:E497))</f>
        <v>174</v>
      </c>
      <c r="C497" s="53" t="s">
        <v>414</v>
      </c>
      <c r="D497" s="58" t="s">
        <v>980</v>
      </c>
      <c r="E497" s="59">
        <v>1965</v>
      </c>
      <c r="F497" s="60">
        <v>3424.5</v>
      </c>
      <c r="G497" s="60">
        <v>2572.4</v>
      </c>
      <c r="H497" s="60">
        <v>0</v>
      </c>
      <c r="I497" s="60" t="s">
        <v>33</v>
      </c>
      <c r="J497" s="60"/>
      <c r="K497" s="60"/>
      <c r="L497" s="60"/>
      <c r="M497" s="60"/>
      <c r="N497" s="60"/>
      <c r="O497" s="60"/>
      <c r="P497" s="60">
        <f t="shared" si="339"/>
        <v>6753114</v>
      </c>
      <c r="Q497" s="60"/>
      <c r="R497" s="60">
        <f t="shared" si="340"/>
        <v>6564766.5</v>
      </c>
      <c r="S497" s="60"/>
      <c r="T497" s="60"/>
      <c r="U497" s="60">
        <f t="shared" si="341"/>
        <v>332176.5</v>
      </c>
      <c r="V497" s="61"/>
      <c r="W497" s="62">
        <f t="shared" si="337"/>
        <v>13650057</v>
      </c>
      <c r="X497" s="60" t="s">
        <v>18</v>
      </c>
      <c r="Y497" s="59">
        <v>0</v>
      </c>
      <c r="Z497" s="59">
        <v>0</v>
      </c>
      <c r="AA497" s="59">
        <v>0</v>
      </c>
      <c r="AB497" s="54">
        <f t="shared" si="338"/>
        <v>13650057</v>
      </c>
    </row>
    <row r="498" spans="1:28" s="31" customFormat="1" ht="52.5" customHeight="1" x14ac:dyDescent="0.35">
      <c r="A498" s="31">
        <v>2019</v>
      </c>
      <c r="B498" s="53">
        <f>IF(OR(E498=0,E498=""),"",COUNTA($E$307:E498))</f>
        <v>175</v>
      </c>
      <c r="C498" s="53" t="s">
        <v>276</v>
      </c>
      <c r="D498" s="58" t="s">
        <v>981</v>
      </c>
      <c r="E498" s="59">
        <v>1965</v>
      </c>
      <c r="F498" s="60">
        <v>2682.8</v>
      </c>
      <c r="G498" s="60">
        <v>2001.1</v>
      </c>
      <c r="H498" s="60">
        <v>44.3</v>
      </c>
      <c r="I498" s="60" t="s">
        <v>36</v>
      </c>
      <c r="J498" s="60"/>
      <c r="K498" s="60"/>
      <c r="L498" s="60"/>
      <c r="M498" s="60"/>
      <c r="N498" s="60"/>
      <c r="O498" s="60"/>
      <c r="P498" s="60">
        <f t="shared" si="339"/>
        <v>5290481.5999999996</v>
      </c>
      <c r="Q498" s="60"/>
      <c r="R498" s="60">
        <f t="shared" si="340"/>
        <v>5142927.5999999996</v>
      </c>
      <c r="S498" s="60"/>
      <c r="T498" s="60"/>
      <c r="U498" s="60"/>
      <c r="V498" s="61"/>
      <c r="W498" s="62">
        <f t="shared" si="337"/>
        <v>10433409.199999999</v>
      </c>
      <c r="X498" s="60" t="s">
        <v>18</v>
      </c>
      <c r="Y498" s="59">
        <v>0</v>
      </c>
      <c r="Z498" s="59">
        <v>0</v>
      </c>
      <c r="AA498" s="59">
        <v>0</v>
      </c>
      <c r="AB498" s="54">
        <f t="shared" si="338"/>
        <v>10433409.199999999</v>
      </c>
    </row>
    <row r="499" spans="1:28" s="31" customFormat="1" ht="52.5" customHeight="1" x14ac:dyDescent="0.35">
      <c r="A499" s="31">
        <v>2019</v>
      </c>
      <c r="B499" s="53">
        <f>IF(OR(E499=0,E499=""),"",COUNTA($E$307:E499))</f>
        <v>176</v>
      </c>
      <c r="C499" s="53" t="s">
        <v>368</v>
      </c>
      <c r="D499" s="58" t="s">
        <v>982</v>
      </c>
      <c r="E499" s="59">
        <v>1965</v>
      </c>
      <c r="F499" s="60">
        <v>4550.2</v>
      </c>
      <c r="G499" s="60">
        <v>3475</v>
      </c>
      <c r="H499" s="60">
        <v>1075.2</v>
      </c>
      <c r="I499" s="60" t="s">
        <v>33</v>
      </c>
      <c r="J499" s="60"/>
      <c r="K499" s="60"/>
      <c r="L499" s="60"/>
      <c r="M499" s="60"/>
      <c r="N499" s="60"/>
      <c r="O499" s="60"/>
      <c r="P499" s="60">
        <f t="shared" si="339"/>
        <v>8972994.4000000004</v>
      </c>
      <c r="Q499" s="60"/>
      <c r="R499" s="60">
        <f t="shared" si="340"/>
        <v>8722733.4000000004</v>
      </c>
      <c r="S499" s="60"/>
      <c r="T499" s="60"/>
      <c r="U499" s="60"/>
      <c r="V499" s="61"/>
      <c r="W499" s="62">
        <f t="shared" si="337"/>
        <v>17695727.800000001</v>
      </c>
      <c r="X499" s="60" t="s">
        <v>18</v>
      </c>
      <c r="Y499" s="59">
        <v>0</v>
      </c>
      <c r="Z499" s="59">
        <v>0</v>
      </c>
      <c r="AA499" s="59">
        <v>0</v>
      </c>
      <c r="AB499" s="54">
        <f t="shared" si="338"/>
        <v>17695727.800000001</v>
      </c>
    </row>
    <row r="500" spans="1:28" s="31" customFormat="1" ht="52.5" customHeight="1" x14ac:dyDescent="0.35">
      <c r="B500" s="53">
        <f>IF(OR(E500=0,E500=""),"",COUNTA($E$307:E500))</f>
        <v>177</v>
      </c>
      <c r="C500" s="53" t="s">
        <v>243</v>
      </c>
      <c r="D500" s="82" t="s">
        <v>983</v>
      </c>
      <c r="E500" s="58">
        <v>1959</v>
      </c>
      <c r="F500" s="63">
        <v>1495.2</v>
      </c>
      <c r="G500" s="63">
        <v>902.2</v>
      </c>
      <c r="H500" s="63">
        <v>0</v>
      </c>
      <c r="I500" s="60" t="s">
        <v>34</v>
      </c>
      <c r="J500" s="60">
        <f>431*F500</f>
        <v>644431.19999999995</v>
      </c>
      <c r="K500" s="60">
        <f>500*F500</f>
        <v>747600</v>
      </c>
      <c r="L500" s="60"/>
      <c r="M500" s="60">
        <f>223*F500</f>
        <v>333429.59999999998</v>
      </c>
      <c r="N500" s="60">
        <f>134*F500</f>
        <v>200356.8</v>
      </c>
      <c r="O500" s="60"/>
      <c r="P500" s="60">
        <f>1919*F500</f>
        <v>2869288.8</v>
      </c>
      <c r="Q500" s="60">
        <f>191*F500</f>
        <v>285583.2</v>
      </c>
      <c r="R500" s="60">
        <f>1853*F500</f>
        <v>2770605.6</v>
      </c>
      <c r="S500" s="60"/>
      <c r="T500" s="60"/>
      <c r="U500" s="60">
        <f>276*F500</f>
        <v>412675.2</v>
      </c>
      <c r="V500" s="61"/>
      <c r="W500" s="62">
        <f t="shared" si="337"/>
        <v>8263970.4000000004</v>
      </c>
      <c r="X500" s="60" t="s">
        <v>18</v>
      </c>
      <c r="Y500" s="59">
        <v>0</v>
      </c>
      <c r="Z500" s="59">
        <v>0</v>
      </c>
      <c r="AA500" s="59">
        <v>0</v>
      </c>
      <c r="AB500" s="56">
        <f t="shared" si="338"/>
        <v>8263970.4000000004</v>
      </c>
    </row>
    <row r="501" spans="1:28" s="31" customFormat="1" ht="52.5" customHeight="1" x14ac:dyDescent="0.35">
      <c r="B501" s="53">
        <f>IF(OR(E501=0,E501=""),"",COUNTA($E$307:E501))</f>
        <v>178</v>
      </c>
      <c r="C501" s="53" t="s">
        <v>300</v>
      </c>
      <c r="D501" s="58" t="s">
        <v>984</v>
      </c>
      <c r="E501" s="59">
        <v>1960</v>
      </c>
      <c r="F501" s="60">
        <v>2217.2199999999998</v>
      </c>
      <c r="G501" s="60">
        <v>1590.3</v>
      </c>
      <c r="H501" s="60">
        <v>0</v>
      </c>
      <c r="I501" s="60" t="s">
        <v>33</v>
      </c>
      <c r="J501" s="60">
        <f>F501*228</f>
        <v>505526.16</v>
      </c>
      <c r="K501" s="60">
        <f>434*F501</f>
        <v>962273.48</v>
      </c>
      <c r="L501" s="60"/>
      <c r="M501" s="60">
        <f>F501*268</f>
        <v>594214.96</v>
      </c>
      <c r="N501" s="60">
        <f>F501*115</f>
        <v>254980.3</v>
      </c>
      <c r="O501" s="60"/>
      <c r="P501" s="60">
        <f>1972*F501</f>
        <v>4372357.84</v>
      </c>
      <c r="Q501" s="60">
        <f>F501*113</f>
        <v>250545.86</v>
      </c>
      <c r="R501" s="60">
        <f>1917*F501</f>
        <v>4250410.74</v>
      </c>
      <c r="S501" s="60">
        <f>F501*90</f>
        <v>199549.8</v>
      </c>
      <c r="T501" s="60"/>
      <c r="U501" s="60">
        <f>276*F501</f>
        <v>611952.72</v>
      </c>
      <c r="V501" s="61"/>
      <c r="W501" s="62">
        <f t="shared" si="337"/>
        <v>12001811.859999999</v>
      </c>
      <c r="X501" s="60" t="s">
        <v>18</v>
      </c>
      <c r="Y501" s="59">
        <v>0</v>
      </c>
      <c r="Z501" s="59">
        <v>0</v>
      </c>
      <c r="AA501" s="59">
        <v>0</v>
      </c>
      <c r="AB501" s="54">
        <f t="shared" si="338"/>
        <v>12001811.859999999</v>
      </c>
    </row>
    <row r="502" spans="1:28" s="31" customFormat="1" ht="52.5" customHeight="1" x14ac:dyDescent="0.35">
      <c r="B502" s="53">
        <f>IF(OR(E502=0,E502=""),"",COUNTA($E$307:E502))</f>
        <v>179</v>
      </c>
      <c r="C502" s="53" t="s">
        <v>454</v>
      </c>
      <c r="D502" s="58" t="s">
        <v>985</v>
      </c>
      <c r="E502" s="59">
        <v>1959</v>
      </c>
      <c r="F502" s="60">
        <v>1301.76</v>
      </c>
      <c r="G502" s="60">
        <v>986.57</v>
      </c>
      <c r="H502" s="60">
        <v>0</v>
      </c>
      <c r="I502" s="60" t="s">
        <v>34</v>
      </c>
      <c r="J502" s="60"/>
      <c r="K502" s="60"/>
      <c r="L502" s="60"/>
      <c r="M502" s="60"/>
      <c r="N502" s="60"/>
      <c r="O502" s="60"/>
      <c r="P502" s="60">
        <f>1919*F502</f>
        <v>2498077.44</v>
      </c>
      <c r="Q502" s="60"/>
      <c r="R502" s="60"/>
      <c r="S502" s="60"/>
      <c r="T502" s="60"/>
      <c r="U502" s="60">
        <f>276*F502</f>
        <v>359285.76000000001</v>
      </c>
      <c r="V502" s="61"/>
      <c r="W502" s="62">
        <f t="shared" si="337"/>
        <v>2857363.2</v>
      </c>
      <c r="X502" s="60" t="s">
        <v>18</v>
      </c>
      <c r="Y502" s="59">
        <v>0</v>
      </c>
      <c r="Z502" s="59">
        <v>0</v>
      </c>
      <c r="AA502" s="59">
        <v>0</v>
      </c>
      <c r="AB502" s="54">
        <f t="shared" si="338"/>
        <v>2857363.2</v>
      </c>
    </row>
    <row r="503" spans="1:28" s="31" customFormat="1" ht="52.5" customHeight="1" x14ac:dyDescent="0.35">
      <c r="B503" s="53">
        <f>IF(OR(E503=0,E503=""),"",COUNTA($E$307:E503))</f>
        <v>180</v>
      </c>
      <c r="C503" s="53" t="s">
        <v>375</v>
      </c>
      <c r="D503" s="58" t="s">
        <v>986</v>
      </c>
      <c r="E503" s="59">
        <v>1961</v>
      </c>
      <c r="F503" s="60">
        <v>1613.1</v>
      </c>
      <c r="G503" s="60">
        <v>1436.7</v>
      </c>
      <c r="H503" s="60">
        <v>0</v>
      </c>
      <c r="I503" s="60" t="s">
        <v>36</v>
      </c>
      <c r="J503" s="60">
        <f>F503*228</f>
        <v>367786.8</v>
      </c>
      <c r="K503" s="60">
        <f>434*F503</f>
        <v>700085.4</v>
      </c>
      <c r="L503" s="60"/>
      <c r="M503" s="60">
        <f>268*F503</f>
        <v>432310.8</v>
      </c>
      <c r="N503" s="60">
        <f>F503*115</f>
        <v>185506.5</v>
      </c>
      <c r="O503" s="60"/>
      <c r="P503" s="60">
        <f>1972*F503</f>
        <v>3181033.2</v>
      </c>
      <c r="Q503" s="60">
        <f>F503*113</f>
        <v>182280.3</v>
      </c>
      <c r="R503" s="60">
        <f>1917*F503</f>
        <v>3092312.7</v>
      </c>
      <c r="S503" s="60">
        <f>F503*90</f>
        <v>145179</v>
      </c>
      <c r="T503" s="60"/>
      <c r="U503" s="60">
        <f>276*F503</f>
        <v>445215.6</v>
      </c>
      <c r="V503" s="61"/>
      <c r="W503" s="62">
        <f t="shared" si="337"/>
        <v>8731710.3000000007</v>
      </c>
      <c r="X503" s="60" t="s">
        <v>18</v>
      </c>
      <c r="Y503" s="59">
        <v>0</v>
      </c>
      <c r="Z503" s="59">
        <v>0</v>
      </c>
      <c r="AA503" s="59">
        <v>0</v>
      </c>
      <c r="AB503" s="54">
        <f t="shared" si="338"/>
        <v>8731710.3000000007</v>
      </c>
    </row>
    <row r="504" spans="1:28" s="31" customFormat="1" ht="52.5" customHeight="1" x14ac:dyDescent="0.35">
      <c r="B504" s="53">
        <f>IF(OR(E504=0,E504=""),"",COUNTA($E$307:E504))</f>
        <v>181</v>
      </c>
      <c r="C504" s="53" t="s">
        <v>217</v>
      </c>
      <c r="D504" s="58" t="s">
        <v>987</v>
      </c>
      <c r="E504" s="59">
        <v>1960</v>
      </c>
      <c r="F504" s="60">
        <v>1647.7</v>
      </c>
      <c r="G504" s="60">
        <v>1276</v>
      </c>
      <c r="H504" s="60">
        <v>0</v>
      </c>
      <c r="I504" s="60" t="s">
        <v>36</v>
      </c>
      <c r="J504" s="60">
        <f>F504*228</f>
        <v>375675.6</v>
      </c>
      <c r="K504" s="60">
        <f>434*F504</f>
        <v>715101.8</v>
      </c>
      <c r="L504" s="60"/>
      <c r="M504" s="60">
        <f>268*F504</f>
        <v>441583.6</v>
      </c>
      <c r="N504" s="60">
        <f>F504*115</f>
        <v>189485.5</v>
      </c>
      <c r="O504" s="60"/>
      <c r="P504" s="60">
        <f>1972*F504</f>
        <v>3249264.4</v>
      </c>
      <c r="Q504" s="60">
        <f>F504*113</f>
        <v>186190.1</v>
      </c>
      <c r="R504" s="60">
        <f>1917*F504</f>
        <v>3158640.9</v>
      </c>
      <c r="S504" s="60">
        <f>F504*90</f>
        <v>148293</v>
      </c>
      <c r="T504" s="60"/>
      <c r="U504" s="60">
        <f>119*F504</f>
        <v>196076.3</v>
      </c>
      <c r="V504" s="61"/>
      <c r="W504" s="62">
        <f t="shared" si="337"/>
        <v>8660311.1999999993</v>
      </c>
      <c r="X504" s="60" t="s">
        <v>18</v>
      </c>
      <c r="Y504" s="59">
        <v>0</v>
      </c>
      <c r="Z504" s="59">
        <v>0</v>
      </c>
      <c r="AA504" s="59">
        <v>0</v>
      </c>
      <c r="AB504" s="54">
        <f t="shared" si="338"/>
        <v>8660311.1999999993</v>
      </c>
    </row>
    <row r="505" spans="1:28" s="31" customFormat="1" ht="52.5" customHeight="1" x14ac:dyDescent="0.35">
      <c r="B505" s="53">
        <f>IF(OR(E505=0,E505=""),"",COUNTA($E$307:E505))</f>
        <v>182</v>
      </c>
      <c r="C505" s="53" t="s">
        <v>255</v>
      </c>
      <c r="D505" s="58" t="s">
        <v>988</v>
      </c>
      <c r="E505" s="59">
        <v>1956</v>
      </c>
      <c r="F505" s="60">
        <v>5535.6</v>
      </c>
      <c r="G505" s="60">
        <v>3797.2</v>
      </c>
      <c r="H505" s="60">
        <v>1738.4</v>
      </c>
      <c r="I505" s="60" t="s">
        <v>28</v>
      </c>
      <c r="J505" s="60"/>
      <c r="K505" s="60"/>
      <c r="L505" s="60"/>
      <c r="M505" s="60"/>
      <c r="N505" s="60"/>
      <c r="O505" s="60"/>
      <c r="P505" s="60">
        <f>2723*F505</f>
        <v>15073438.800000001</v>
      </c>
      <c r="Q505" s="60"/>
      <c r="R505" s="60"/>
      <c r="S505" s="60"/>
      <c r="T505" s="60"/>
      <c r="U505" s="60">
        <f>316*F505</f>
        <v>1749249.6</v>
      </c>
      <c r="V505" s="61"/>
      <c r="W505" s="62">
        <f t="shared" si="337"/>
        <v>16822688.399999999</v>
      </c>
      <c r="X505" s="60" t="s">
        <v>18</v>
      </c>
      <c r="Y505" s="59">
        <v>0</v>
      </c>
      <c r="Z505" s="59">
        <v>0</v>
      </c>
      <c r="AA505" s="59">
        <v>0</v>
      </c>
      <c r="AB505" s="54">
        <f t="shared" si="338"/>
        <v>16822688.399999999</v>
      </c>
    </row>
    <row r="506" spans="1:28" s="31" customFormat="1" ht="52.5" customHeight="1" x14ac:dyDescent="0.35">
      <c r="B506" s="53">
        <f>IF(OR(E506=0,E506=""),"",COUNTA($E$307:E506))</f>
        <v>183</v>
      </c>
      <c r="C506" s="53" t="s">
        <v>287</v>
      </c>
      <c r="D506" s="58" t="s">
        <v>989</v>
      </c>
      <c r="E506" s="59">
        <v>1917</v>
      </c>
      <c r="F506" s="60">
        <v>266.10000000000002</v>
      </c>
      <c r="G506" s="60">
        <v>203.7</v>
      </c>
      <c r="H506" s="60">
        <v>0</v>
      </c>
      <c r="I506" s="60" t="s">
        <v>29</v>
      </c>
      <c r="J506" s="60">
        <f>F506*538</f>
        <v>143161.79999999999</v>
      </c>
      <c r="K506" s="60"/>
      <c r="L506" s="60"/>
      <c r="M506" s="60"/>
      <c r="N506" s="60"/>
      <c r="O506" s="60"/>
      <c r="P506" s="60"/>
      <c r="Q506" s="60">
        <f>252*F506</f>
        <v>67057.2</v>
      </c>
      <c r="R506" s="60">
        <f>1991*F506</f>
        <v>529805.1</v>
      </c>
      <c r="S506" s="60">
        <f>259*F506</f>
        <v>68919.899999999994</v>
      </c>
      <c r="T506" s="60"/>
      <c r="U506" s="60">
        <f>967*F506</f>
        <v>257318.7</v>
      </c>
      <c r="V506" s="61"/>
      <c r="W506" s="62">
        <f t="shared" si="337"/>
        <v>1066262.7</v>
      </c>
      <c r="X506" s="60" t="s">
        <v>18</v>
      </c>
      <c r="Y506" s="59">
        <v>0</v>
      </c>
      <c r="Z506" s="59">
        <v>0</v>
      </c>
      <c r="AA506" s="59">
        <v>0</v>
      </c>
      <c r="AB506" s="54">
        <f t="shared" si="338"/>
        <v>1066262.7</v>
      </c>
    </row>
    <row r="507" spans="1:28" s="31" customFormat="1" ht="52.5" customHeight="1" x14ac:dyDescent="0.35">
      <c r="B507" s="53">
        <f>IF(OR(E507=0,E507=""),"",COUNTA($E$307:E507))</f>
        <v>184</v>
      </c>
      <c r="C507" s="53" t="s">
        <v>270</v>
      </c>
      <c r="D507" s="58" t="s">
        <v>990</v>
      </c>
      <c r="E507" s="59">
        <v>1917</v>
      </c>
      <c r="F507" s="60">
        <v>321</v>
      </c>
      <c r="G507" s="60">
        <v>159.9</v>
      </c>
      <c r="H507" s="60">
        <v>128.5</v>
      </c>
      <c r="I507" s="60" t="s">
        <v>35</v>
      </c>
      <c r="J507" s="60"/>
      <c r="K507" s="60"/>
      <c r="L507" s="60"/>
      <c r="M507" s="60">
        <f>F507*193</f>
        <v>61953</v>
      </c>
      <c r="N507" s="60">
        <f>F507*124</f>
        <v>39804</v>
      </c>
      <c r="O507" s="60"/>
      <c r="P507" s="60">
        <f>1919*F507</f>
        <v>615999</v>
      </c>
      <c r="Q507" s="60"/>
      <c r="R507" s="60">
        <f>1853*F507</f>
        <v>594813</v>
      </c>
      <c r="S507" s="60">
        <f>F507*114</f>
        <v>36594</v>
      </c>
      <c r="T507" s="60"/>
      <c r="U507" s="60">
        <f>F507*276</f>
        <v>88596</v>
      </c>
      <c r="V507" s="61"/>
      <c r="W507" s="62">
        <f t="shared" si="337"/>
        <v>1437759</v>
      </c>
      <c r="X507" s="60" t="s">
        <v>18</v>
      </c>
      <c r="Y507" s="59">
        <v>0</v>
      </c>
      <c r="Z507" s="59">
        <v>0</v>
      </c>
      <c r="AA507" s="59">
        <v>0</v>
      </c>
      <c r="AB507" s="54">
        <f t="shared" si="338"/>
        <v>1437759</v>
      </c>
    </row>
    <row r="508" spans="1:28" s="31" customFormat="1" ht="52.5" customHeight="1" x14ac:dyDescent="0.35">
      <c r="B508" s="53">
        <f>IF(OR(E508=0,E508=""),"",COUNTA($E$307:E508))</f>
        <v>185</v>
      </c>
      <c r="C508" s="53" t="s">
        <v>451</v>
      </c>
      <c r="D508" s="58" t="s">
        <v>704</v>
      </c>
      <c r="E508" s="59">
        <v>1961</v>
      </c>
      <c r="F508" s="60">
        <v>4507</v>
      </c>
      <c r="G508" s="60">
        <v>2535.5</v>
      </c>
      <c r="H508" s="60">
        <v>0</v>
      </c>
      <c r="I508" s="60" t="s">
        <v>36</v>
      </c>
      <c r="J508" s="60">
        <f>F508*228</f>
        <v>1027596</v>
      </c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1"/>
      <c r="W508" s="62">
        <f t="shared" si="337"/>
        <v>1027596</v>
      </c>
      <c r="X508" s="60" t="s">
        <v>18</v>
      </c>
      <c r="Y508" s="59">
        <v>0</v>
      </c>
      <c r="Z508" s="59">
        <v>0</v>
      </c>
      <c r="AA508" s="59">
        <v>0</v>
      </c>
      <c r="AB508" s="54">
        <f t="shared" si="338"/>
        <v>1027596</v>
      </c>
    </row>
    <row r="509" spans="1:28" s="31" customFormat="1" ht="52.5" customHeight="1" x14ac:dyDescent="0.35">
      <c r="B509" s="53">
        <f>IF(OR(E509=0,E509=""),"",COUNTA($E$307:E509))</f>
        <v>186</v>
      </c>
      <c r="C509" s="53" t="s">
        <v>424</v>
      </c>
      <c r="D509" s="58" t="s">
        <v>991</v>
      </c>
      <c r="E509" s="59">
        <v>1959</v>
      </c>
      <c r="F509" s="60">
        <v>1202.3</v>
      </c>
      <c r="G509" s="60">
        <v>1128.9000000000001</v>
      </c>
      <c r="H509" s="60">
        <v>0</v>
      </c>
      <c r="I509" s="60" t="s">
        <v>34</v>
      </c>
      <c r="J509" s="60">
        <f>386*F509</f>
        <v>464087.8</v>
      </c>
      <c r="K509" s="60">
        <f>577*F509</f>
        <v>693727.1</v>
      </c>
      <c r="L509" s="60"/>
      <c r="M509" s="60">
        <f>193*F509</f>
        <v>232043.9</v>
      </c>
      <c r="N509" s="60">
        <f>F509*124</f>
        <v>149085.20000000001</v>
      </c>
      <c r="O509" s="60"/>
      <c r="P509" s="60">
        <f>1919*F509</f>
        <v>2307213.7000000002</v>
      </c>
      <c r="Q509" s="60">
        <f>F509*48</f>
        <v>57710.400000000001</v>
      </c>
      <c r="R509" s="60">
        <f>1853*F509</f>
        <v>2227861.9</v>
      </c>
      <c r="S509" s="60">
        <f>F509*114</f>
        <v>137062.20000000001</v>
      </c>
      <c r="T509" s="60"/>
      <c r="U509" s="60">
        <f>180*F509</f>
        <v>216414</v>
      </c>
      <c r="V509" s="61"/>
      <c r="W509" s="62">
        <f t="shared" si="337"/>
        <v>6485206.2000000002</v>
      </c>
      <c r="X509" s="60" t="s">
        <v>18</v>
      </c>
      <c r="Y509" s="59">
        <v>0</v>
      </c>
      <c r="Z509" s="59">
        <v>0</v>
      </c>
      <c r="AA509" s="59">
        <v>0</v>
      </c>
      <c r="AB509" s="56">
        <f t="shared" si="338"/>
        <v>6485206.2000000002</v>
      </c>
    </row>
    <row r="510" spans="1:28" s="31" customFormat="1" ht="52.5" customHeight="1" x14ac:dyDescent="0.35">
      <c r="B510" s="53">
        <f>IF(OR(E510=0,E510=""),"",COUNTA($E$307:E510))</f>
        <v>187</v>
      </c>
      <c r="C510" s="53" t="s">
        <v>369</v>
      </c>
      <c r="D510" s="58" t="s">
        <v>747</v>
      </c>
      <c r="E510" s="59">
        <v>1968</v>
      </c>
      <c r="F510" s="60">
        <v>2053.6</v>
      </c>
      <c r="G510" s="60">
        <v>1863.2</v>
      </c>
      <c r="H510" s="60">
        <v>0</v>
      </c>
      <c r="I510" s="60" t="s">
        <v>33</v>
      </c>
      <c r="J510" s="60"/>
      <c r="K510" s="60"/>
      <c r="L510" s="60"/>
      <c r="M510" s="60"/>
      <c r="N510" s="60"/>
      <c r="O510" s="60"/>
      <c r="P510" s="60">
        <f>1972*F510</f>
        <v>4049699.2</v>
      </c>
      <c r="Q510" s="60"/>
      <c r="R510" s="60"/>
      <c r="S510" s="60"/>
      <c r="T510" s="60"/>
      <c r="U510" s="60"/>
      <c r="V510" s="61"/>
      <c r="W510" s="62">
        <f t="shared" si="337"/>
        <v>4049699.2</v>
      </c>
      <c r="X510" s="60" t="s">
        <v>18</v>
      </c>
      <c r="Y510" s="59">
        <v>0</v>
      </c>
      <c r="Z510" s="59">
        <v>0</v>
      </c>
      <c r="AA510" s="59">
        <v>0</v>
      </c>
      <c r="AB510" s="54">
        <f t="shared" si="338"/>
        <v>4049699.2</v>
      </c>
    </row>
    <row r="511" spans="1:28" s="31" customFormat="1" ht="52.5" customHeight="1" x14ac:dyDescent="0.35">
      <c r="B511" s="53">
        <f>IF(OR(E511=0,E511=""),"",COUNTA($E$307:E511))</f>
        <v>188</v>
      </c>
      <c r="C511" s="53" t="s">
        <v>226</v>
      </c>
      <c r="D511" s="58" t="s">
        <v>992</v>
      </c>
      <c r="E511" s="59">
        <v>1969</v>
      </c>
      <c r="F511" s="60">
        <v>5788.2</v>
      </c>
      <c r="G511" s="60">
        <v>3082.9</v>
      </c>
      <c r="H511" s="60">
        <v>0</v>
      </c>
      <c r="I511" s="60" t="s">
        <v>33</v>
      </c>
      <c r="J511" s="60"/>
      <c r="K511" s="60"/>
      <c r="L511" s="60"/>
      <c r="M511" s="60"/>
      <c r="N511" s="60"/>
      <c r="O511" s="60"/>
      <c r="P511" s="60">
        <f>1972*F511</f>
        <v>11414330.4</v>
      </c>
      <c r="Q511" s="60"/>
      <c r="R511" s="60"/>
      <c r="S511" s="60"/>
      <c r="T511" s="60"/>
      <c r="U511" s="60"/>
      <c r="V511" s="61"/>
      <c r="W511" s="62">
        <f t="shared" ref="W511:W515" si="342">V511+U511+T511+S511+R511+Q511+P511+O511+N511+M511+L511+K511+J511</f>
        <v>11414330.4</v>
      </c>
      <c r="X511" s="60" t="s">
        <v>18</v>
      </c>
      <c r="Y511" s="59">
        <v>0</v>
      </c>
      <c r="Z511" s="59">
        <v>0</v>
      </c>
      <c r="AA511" s="59">
        <v>0</v>
      </c>
      <c r="AB511" s="56">
        <f t="shared" ref="AB511:AB515" si="343">W511-(Y511+Z511+AA511)</f>
        <v>11414330.4</v>
      </c>
    </row>
    <row r="512" spans="1:28" s="31" customFormat="1" ht="52.5" customHeight="1" x14ac:dyDescent="0.35">
      <c r="B512" s="53">
        <f>IF(OR(E512=0,E512=""),"",COUNTA($E$307:E512))</f>
        <v>189</v>
      </c>
      <c r="C512" s="53" t="s">
        <v>374</v>
      </c>
      <c r="D512" s="58" t="s">
        <v>993</v>
      </c>
      <c r="E512" s="59">
        <v>1954</v>
      </c>
      <c r="F512" s="60">
        <v>704.7</v>
      </c>
      <c r="G512" s="60">
        <v>385</v>
      </c>
      <c r="H512" s="60">
        <v>319.7</v>
      </c>
      <c r="I512" s="60" t="s">
        <v>35</v>
      </c>
      <c r="J512" s="60"/>
      <c r="K512" s="60"/>
      <c r="L512" s="60"/>
      <c r="M512" s="60"/>
      <c r="N512" s="60">
        <f>F512*124</f>
        <v>87382.8</v>
      </c>
      <c r="O512" s="60"/>
      <c r="P512" s="60"/>
      <c r="Q512" s="60"/>
      <c r="R512" s="60"/>
      <c r="S512" s="60"/>
      <c r="T512" s="60"/>
      <c r="U512" s="60"/>
      <c r="V512" s="61"/>
      <c r="W512" s="62">
        <f t="shared" si="342"/>
        <v>87382.8</v>
      </c>
      <c r="X512" s="60" t="s">
        <v>18</v>
      </c>
      <c r="Y512" s="59">
        <v>0</v>
      </c>
      <c r="Z512" s="59">
        <v>0</v>
      </c>
      <c r="AA512" s="59">
        <v>0</v>
      </c>
      <c r="AB512" s="56">
        <f t="shared" si="343"/>
        <v>87382.8</v>
      </c>
    </row>
    <row r="513" spans="1:28" s="31" customFormat="1" ht="52.5" customHeight="1" x14ac:dyDescent="0.35">
      <c r="B513" s="53">
        <f>IF(OR(E513=0,E513=""),"",COUNTA($E$307:E513))</f>
        <v>190</v>
      </c>
      <c r="C513" s="53" t="s">
        <v>334</v>
      </c>
      <c r="D513" s="82" t="s">
        <v>727</v>
      </c>
      <c r="E513" s="58">
        <v>1961</v>
      </c>
      <c r="F513" s="60">
        <v>1110.2</v>
      </c>
      <c r="G513" s="60">
        <v>630.4</v>
      </c>
      <c r="H513" s="60">
        <v>0</v>
      </c>
      <c r="I513" s="60" t="s">
        <v>35</v>
      </c>
      <c r="J513" s="60"/>
      <c r="K513" s="60">
        <f>577*F513</f>
        <v>640585.4</v>
      </c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1"/>
      <c r="W513" s="62">
        <f t="shared" si="342"/>
        <v>640585.4</v>
      </c>
      <c r="X513" s="60" t="s">
        <v>18</v>
      </c>
      <c r="Y513" s="59">
        <v>0</v>
      </c>
      <c r="Z513" s="59">
        <v>0</v>
      </c>
      <c r="AA513" s="59">
        <v>0</v>
      </c>
      <c r="AB513" s="56">
        <f t="shared" si="343"/>
        <v>640585.4</v>
      </c>
    </row>
    <row r="514" spans="1:28" s="31" customFormat="1" ht="52.5" customHeight="1" x14ac:dyDescent="0.35">
      <c r="B514" s="53">
        <f>IF(OR(E514=0,E514=""),"",COUNTA($E$307:E514))</f>
        <v>191</v>
      </c>
      <c r="C514" s="53" t="s">
        <v>242</v>
      </c>
      <c r="D514" s="82" t="s">
        <v>624</v>
      </c>
      <c r="E514" s="58">
        <v>1956</v>
      </c>
      <c r="F514" s="60">
        <v>5866</v>
      </c>
      <c r="G514" s="60">
        <v>2930.7</v>
      </c>
      <c r="H514" s="60">
        <v>2935.3</v>
      </c>
      <c r="I514" s="60" t="s">
        <v>36</v>
      </c>
      <c r="J514" s="60">
        <f>F514*228</f>
        <v>1337448</v>
      </c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1"/>
      <c r="W514" s="62">
        <f t="shared" si="342"/>
        <v>1337448</v>
      </c>
      <c r="X514" s="60" t="s">
        <v>18</v>
      </c>
      <c r="Y514" s="59">
        <v>0</v>
      </c>
      <c r="Z514" s="59">
        <v>0</v>
      </c>
      <c r="AA514" s="59">
        <v>0</v>
      </c>
      <c r="AB514" s="56">
        <f t="shared" si="343"/>
        <v>1337448</v>
      </c>
    </row>
    <row r="515" spans="1:28" s="31" customFormat="1" ht="52.5" customHeight="1" x14ac:dyDescent="0.35">
      <c r="B515" s="53">
        <f>IF(OR(E515=0,E515=""),"",COUNTA($E$307:E515))</f>
        <v>192</v>
      </c>
      <c r="C515" s="53" t="s">
        <v>249</v>
      </c>
      <c r="D515" s="82" t="s">
        <v>626</v>
      </c>
      <c r="E515" s="58">
        <v>1947</v>
      </c>
      <c r="F515" s="60">
        <v>2689.9</v>
      </c>
      <c r="G515" s="60">
        <v>419.4</v>
      </c>
      <c r="H515" s="60">
        <v>1671.5</v>
      </c>
      <c r="I515" s="60" t="s">
        <v>59</v>
      </c>
      <c r="J515" s="60">
        <f>F515*538</f>
        <v>1447166.2</v>
      </c>
      <c r="K515" s="60"/>
      <c r="L515" s="60"/>
      <c r="M515" s="60">
        <f>F515*425</f>
        <v>1143207.5</v>
      </c>
      <c r="N515" s="60"/>
      <c r="O515" s="60"/>
      <c r="P515" s="60"/>
      <c r="Q515" s="60">
        <f>252*F515</f>
        <v>677854.8</v>
      </c>
      <c r="R515" s="60"/>
      <c r="S515" s="60"/>
      <c r="T515" s="60"/>
      <c r="U515" s="60"/>
      <c r="V515" s="61"/>
      <c r="W515" s="62">
        <f t="shared" si="342"/>
        <v>3268228.5</v>
      </c>
      <c r="X515" s="60" t="s">
        <v>18</v>
      </c>
      <c r="Y515" s="59">
        <v>0</v>
      </c>
      <c r="Z515" s="59">
        <v>0</v>
      </c>
      <c r="AA515" s="59">
        <v>0</v>
      </c>
      <c r="AB515" s="54">
        <f t="shared" si="343"/>
        <v>3268228.5</v>
      </c>
    </row>
    <row r="516" spans="1:28" s="31" customFormat="1" ht="52.5" customHeight="1" x14ac:dyDescent="0.35">
      <c r="A516" s="31">
        <v>2019</v>
      </c>
      <c r="B516" s="53" t="str">
        <f>IF(OR(E516=0,E516=""),"",COUNTA($E$307:E516))</f>
        <v/>
      </c>
      <c r="C516" s="53"/>
      <c r="D516" s="58"/>
      <c r="E516" s="59"/>
      <c r="F516" s="54">
        <f>SUM(F396:F515)</f>
        <v>421074.7</v>
      </c>
      <c r="G516" s="54">
        <f>SUM(G396:G515)</f>
        <v>303419.61</v>
      </c>
      <c r="H516" s="54">
        <f>SUM(H396:H515)</f>
        <v>42997.81</v>
      </c>
      <c r="I516" s="54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56">
        <f>SUM(W396:W515)</f>
        <v>1224517615.9000001</v>
      </c>
      <c r="X516" s="60"/>
      <c r="Y516" s="52">
        <v>0</v>
      </c>
      <c r="Z516" s="52">
        <v>0</v>
      </c>
      <c r="AA516" s="52">
        <v>0</v>
      </c>
      <c r="AB516" s="54">
        <f>SUM(AB396:AB515)</f>
        <v>1224517615.9000001</v>
      </c>
    </row>
    <row r="517" spans="1:28" s="31" customFormat="1" ht="52.5" customHeight="1" x14ac:dyDescent="0.35">
      <c r="A517" s="31">
        <v>2019</v>
      </c>
      <c r="B517" s="53" t="str">
        <f>IF(OR(E517=0,E517=""),"",COUNTA($E$307:E517))</f>
        <v/>
      </c>
      <c r="C517" s="53"/>
      <c r="D517" s="57" t="s">
        <v>88</v>
      </c>
      <c r="E517" s="58"/>
      <c r="F517" s="60"/>
      <c r="G517" s="60"/>
      <c r="H517" s="60"/>
      <c r="I517" s="54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59"/>
      <c r="Z517" s="59"/>
      <c r="AA517" s="59"/>
      <c r="AB517" s="54"/>
    </row>
    <row r="518" spans="1:28" s="31" customFormat="1" ht="52.5" customHeight="1" x14ac:dyDescent="0.35">
      <c r="B518" s="53">
        <f>IF(OR(E518=0,E518=""),"",COUNTA($E$307:E518))</f>
        <v>193</v>
      </c>
      <c r="C518" s="53" t="s">
        <v>463</v>
      </c>
      <c r="D518" s="58" t="s">
        <v>63</v>
      </c>
      <c r="E518" s="59">
        <v>1960</v>
      </c>
      <c r="F518" s="60">
        <v>300.3</v>
      </c>
      <c r="G518" s="60">
        <v>271.10000000000002</v>
      </c>
      <c r="H518" s="60">
        <v>0</v>
      </c>
      <c r="I518" s="60" t="s">
        <v>35</v>
      </c>
      <c r="J518" s="60"/>
      <c r="K518" s="60"/>
      <c r="L518" s="60"/>
      <c r="M518" s="60">
        <f>F518*193</f>
        <v>57957.9</v>
      </c>
      <c r="N518" s="60">
        <f>F518*124</f>
        <v>37237.199999999997</v>
      </c>
      <c r="O518" s="60"/>
      <c r="P518" s="60">
        <f>1919*F518</f>
        <v>576275.69999999995</v>
      </c>
      <c r="Q518" s="60"/>
      <c r="R518" s="60">
        <f>1853*F518</f>
        <v>556455.9</v>
      </c>
      <c r="S518" s="60">
        <f>F518*114</f>
        <v>34234.199999999997</v>
      </c>
      <c r="T518" s="60"/>
      <c r="U518" s="60">
        <f>202*F518</f>
        <v>60660.6</v>
      </c>
      <c r="V518" s="60"/>
      <c r="W518" s="62">
        <f t="shared" ref="W518:W526" si="344">V518+U518+T518+S518+R518+Q518+P518+O518+N518+M518+L518+K518+J518</f>
        <v>1322821.5</v>
      </c>
      <c r="X518" s="60" t="s">
        <v>18</v>
      </c>
      <c r="Y518" s="59">
        <v>0</v>
      </c>
      <c r="Z518" s="59">
        <v>0</v>
      </c>
      <c r="AA518" s="59">
        <v>0</v>
      </c>
      <c r="AB518" s="54">
        <f t="shared" ref="AB518:AB526" si="345">W518-(Y518+Z518+AA518)</f>
        <v>1322821.5</v>
      </c>
    </row>
    <row r="519" spans="1:28" s="31" customFormat="1" ht="52.5" customHeight="1" x14ac:dyDescent="0.35">
      <c r="A519" s="31">
        <v>2019</v>
      </c>
      <c r="B519" s="53">
        <f>IF(OR(E519=0,E519=""),"",COUNTA($E$307:E519))</f>
        <v>194</v>
      </c>
      <c r="C519" s="53" t="s">
        <v>459</v>
      </c>
      <c r="D519" s="58" t="s">
        <v>994</v>
      </c>
      <c r="E519" s="59">
        <v>1965</v>
      </c>
      <c r="F519" s="60">
        <v>1416</v>
      </c>
      <c r="G519" s="60">
        <v>1245</v>
      </c>
      <c r="H519" s="60">
        <v>0</v>
      </c>
      <c r="I519" s="60" t="s">
        <v>36</v>
      </c>
      <c r="J519" s="60"/>
      <c r="K519" s="60"/>
      <c r="L519" s="60"/>
      <c r="M519" s="60"/>
      <c r="N519" s="60"/>
      <c r="O519" s="60"/>
      <c r="P519" s="60">
        <f>1972*F519</f>
        <v>2792352</v>
      </c>
      <c r="Q519" s="60"/>
      <c r="R519" s="60">
        <f>1917*F519</f>
        <v>2714472</v>
      </c>
      <c r="S519" s="60"/>
      <c r="T519" s="60"/>
      <c r="U519" s="60">
        <f>97*F519</f>
        <v>137352</v>
      </c>
      <c r="V519" s="60"/>
      <c r="W519" s="62">
        <f t="shared" si="344"/>
        <v>5644176</v>
      </c>
      <c r="X519" s="60" t="s">
        <v>18</v>
      </c>
      <c r="Y519" s="59">
        <v>0</v>
      </c>
      <c r="Z519" s="59">
        <v>0</v>
      </c>
      <c r="AA519" s="59">
        <v>0</v>
      </c>
      <c r="AB519" s="54">
        <f t="shared" si="345"/>
        <v>5644176</v>
      </c>
    </row>
    <row r="520" spans="1:28" s="31" customFormat="1" ht="52.5" customHeight="1" x14ac:dyDescent="0.35">
      <c r="A520" s="31">
        <v>2019</v>
      </c>
      <c r="B520" s="53">
        <f>IF(OR(E520=0,E520=""),"",COUNTA($E$307:E520))</f>
        <v>195</v>
      </c>
      <c r="C520" s="53" t="s">
        <v>468</v>
      </c>
      <c r="D520" s="58" t="s">
        <v>995</v>
      </c>
      <c r="E520" s="59">
        <v>1966</v>
      </c>
      <c r="F520" s="59">
        <v>1204</v>
      </c>
      <c r="G520" s="60">
        <v>1034</v>
      </c>
      <c r="H520" s="60">
        <v>0</v>
      </c>
      <c r="I520" s="60" t="s">
        <v>35</v>
      </c>
      <c r="J520" s="60"/>
      <c r="K520" s="60"/>
      <c r="L520" s="60"/>
      <c r="M520" s="60"/>
      <c r="N520" s="60"/>
      <c r="O520" s="60"/>
      <c r="P520" s="60">
        <f t="shared" ref="P520:P521" si="346">1919*F520</f>
        <v>2310476</v>
      </c>
      <c r="Q520" s="60"/>
      <c r="R520" s="60">
        <f>1853*F520</f>
        <v>2231012</v>
      </c>
      <c r="S520" s="60"/>
      <c r="T520" s="60"/>
      <c r="U520" s="60">
        <f t="shared" ref="U520:U521" si="347">119*F520</f>
        <v>143276</v>
      </c>
      <c r="V520" s="60"/>
      <c r="W520" s="62">
        <f t="shared" si="344"/>
        <v>4684764</v>
      </c>
      <c r="X520" s="60" t="s">
        <v>18</v>
      </c>
      <c r="Y520" s="59">
        <v>0</v>
      </c>
      <c r="Z520" s="59">
        <v>0</v>
      </c>
      <c r="AA520" s="59">
        <v>0</v>
      </c>
      <c r="AB520" s="54">
        <f t="shared" si="345"/>
        <v>4684764</v>
      </c>
    </row>
    <row r="521" spans="1:28" s="31" customFormat="1" ht="52.5" customHeight="1" x14ac:dyDescent="0.35">
      <c r="A521" s="31">
        <v>2019</v>
      </c>
      <c r="B521" s="53">
        <f>IF(OR(E521=0,E521=""),"",COUNTA($E$307:E521))</f>
        <v>196</v>
      </c>
      <c r="C521" s="53" t="s">
        <v>469</v>
      </c>
      <c r="D521" s="58" t="s">
        <v>996</v>
      </c>
      <c r="E521" s="59">
        <v>1967</v>
      </c>
      <c r="F521" s="60">
        <v>1118.2</v>
      </c>
      <c r="G521" s="60">
        <v>1017.5</v>
      </c>
      <c r="H521" s="60">
        <v>0</v>
      </c>
      <c r="I521" s="60" t="s">
        <v>35</v>
      </c>
      <c r="J521" s="60"/>
      <c r="K521" s="60"/>
      <c r="L521" s="60"/>
      <c r="M521" s="60"/>
      <c r="N521" s="60"/>
      <c r="O521" s="60"/>
      <c r="P521" s="60">
        <f t="shared" si="346"/>
        <v>2145825.7999999998</v>
      </c>
      <c r="Q521" s="60"/>
      <c r="R521" s="60">
        <f>1853*F521</f>
        <v>2072024.6</v>
      </c>
      <c r="S521" s="60"/>
      <c r="T521" s="60"/>
      <c r="U521" s="60">
        <f t="shared" si="347"/>
        <v>133065.79999999999</v>
      </c>
      <c r="V521" s="60"/>
      <c r="W521" s="62">
        <f t="shared" si="344"/>
        <v>4350916.2</v>
      </c>
      <c r="X521" s="60" t="s">
        <v>18</v>
      </c>
      <c r="Y521" s="59">
        <v>0</v>
      </c>
      <c r="Z521" s="59">
        <v>0</v>
      </c>
      <c r="AA521" s="59">
        <v>0</v>
      </c>
      <c r="AB521" s="54">
        <f t="shared" si="345"/>
        <v>4350916.2</v>
      </c>
    </row>
    <row r="522" spans="1:28" s="31" customFormat="1" ht="52.5" customHeight="1" x14ac:dyDescent="0.35">
      <c r="A522" s="31">
        <v>2019</v>
      </c>
      <c r="B522" s="53">
        <f>IF(OR(E522=0,E522=""),"",COUNTA($E$307:E522))</f>
        <v>197</v>
      </c>
      <c r="C522" s="53" t="s">
        <v>470</v>
      </c>
      <c r="D522" s="58" t="s">
        <v>997</v>
      </c>
      <c r="E522" s="59">
        <v>1967</v>
      </c>
      <c r="F522" s="60">
        <v>1417.2</v>
      </c>
      <c r="G522" s="60">
        <v>1259.5</v>
      </c>
      <c r="H522" s="60">
        <v>0</v>
      </c>
      <c r="I522" s="60" t="s">
        <v>36</v>
      </c>
      <c r="J522" s="60"/>
      <c r="K522" s="60"/>
      <c r="L522" s="60"/>
      <c r="M522" s="60"/>
      <c r="N522" s="60"/>
      <c r="O522" s="60"/>
      <c r="P522" s="60">
        <f>1972*F522</f>
        <v>2794718.4</v>
      </c>
      <c r="Q522" s="60"/>
      <c r="R522" s="60">
        <f>1917*F522</f>
        <v>2716772.4</v>
      </c>
      <c r="S522" s="60"/>
      <c r="T522" s="60"/>
      <c r="U522" s="60">
        <f>97*F522</f>
        <v>137468.4</v>
      </c>
      <c r="V522" s="61"/>
      <c r="W522" s="62">
        <f t="shared" si="344"/>
        <v>5648959.2000000002</v>
      </c>
      <c r="X522" s="60" t="s">
        <v>18</v>
      </c>
      <c r="Y522" s="59">
        <v>0</v>
      </c>
      <c r="Z522" s="59">
        <v>0</v>
      </c>
      <c r="AA522" s="59">
        <v>0</v>
      </c>
      <c r="AB522" s="54">
        <f t="shared" si="345"/>
        <v>5648959.2000000002</v>
      </c>
    </row>
    <row r="523" spans="1:28" s="31" customFormat="1" ht="52.5" customHeight="1" x14ac:dyDescent="0.35">
      <c r="A523" s="31">
        <v>2019</v>
      </c>
      <c r="B523" s="53">
        <f>IF(OR(E523=0,E523=""),"",COUNTA($E$307:E523))</f>
        <v>198</v>
      </c>
      <c r="C523" s="53" t="s">
        <v>460</v>
      </c>
      <c r="D523" s="58" t="s">
        <v>998</v>
      </c>
      <c r="E523" s="59">
        <v>1969</v>
      </c>
      <c r="F523" s="60">
        <v>2833.9</v>
      </c>
      <c r="G523" s="60">
        <v>2498.1999999999998</v>
      </c>
      <c r="H523" s="60">
        <v>0</v>
      </c>
      <c r="I523" s="60" t="s">
        <v>36</v>
      </c>
      <c r="J523" s="60"/>
      <c r="K523" s="60"/>
      <c r="L523" s="60"/>
      <c r="M523" s="60"/>
      <c r="N523" s="60"/>
      <c r="O523" s="60"/>
      <c r="P523" s="60">
        <f>1972*F523</f>
        <v>5588450.7999999998</v>
      </c>
      <c r="Q523" s="60"/>
      <c r="R523" s="60">
        <f>1917*F523</f>
        <v>5432586.2999999998</v>
      </c>
      <c r="S523" s="60"/>
      <c r="T523" s="60"/>
      <c r="U523" s="60"/>
      <c r="V523" s="61"/>
      <c r="W523" s="62">
        <f t="shared" si="344"/>
        <v>11021037.1</v>
      </c>
      <c r="X523" s="60" t="s">
        <v>18</v>
      </c>
      <c r="Y523" s="59">
        <v>0</v>
      </c>
      <c r="Z523" s="59">
        <v>0</v>
      </c>
      <c r="AA523" s="59">
        <v>0</v>
      </c>
      <c r="AB523" s="54">
        <f t="shared" si="345"/>
        <v>11021037.1</v>
      </c>
    </row>
    <row r="524" spans="1:28" s="31" customFormat="1" ht="52.5" customHeight="1" x14ac:dyDescent="0.35">
      <c r="A524" s="31">
        <v>2019</v>
      </c>
      <c r="B524" s="53">
        <f>IF(OR(E524=0,E524=""),"",COUNTA($E$307:E524))</f>
        <v>199</v>
      </c>
      <c r="C524" s="53" t="s">
        <v>461</v>
      </c>
      <c r="D524" s="58" t="s">
        <v>999</v>
      </c>
      <c r="E524" s="59">
        <v>1972</v>
      </c>
      <c r="F524" s="60">
        <v>3479</v>
      </c>
      <c r="G524" s="60">
        <v>2466.4</v>
      </c>
      <c r="H524" s="60">
        <v>0</v>
      </c>
      <c r="I524" s="60" t="s">
        <v>36</v>
      </c>
      <c r="J524" s="60"/>
      <c r="K524" s="60"/>
      <c r="L524" s="60"/>
      <c r="M524" s="60"/>
      <c r="N524" s="60"/>
      <c r="O524" s="60"/>
      <c r="P524" s="60">
        <f>1972*F524</f>
        <v>6860588</v>
      </c>
      <c r="Q524" s="60"/>
      <c r="R524" s="60">
        <f>1917*F524</f>
        <v>6669243</v>
      </c>
      <c r="S524" s="60"/>
      <c r="T524" s="60"/>
      <c r="U524" s="60">
        <f>97*F524</f>
        <v>337463</v>
      </c>
      <c r="V524" s="61"/>
      <c r="W524" s="62">
        <f t="shared" si="344"/>
        <v>13867294</v>
      </c>
      <c r="X524" s="60" t="s">
        <v>18</v>
      </c>
      <c r="Y524" s="59">
        <v>0</v>
      </c>
      <c r="Z524" s="59">
        <v>0</v>
      </c>
      <c r="AA524" s="59">
        <v>0</v>
      </c>
      <c r="AB524" s="54">
        <f t="shared" si="345"/>
        <v>13867294</v>
      </c>
    </row>
    <row r="525" spans="1:28" s="31" customFormat="1" ht="52.5" customHeight="1" x14ac:dyDescent="0.35">
      <c r="A525" s="31">
        <v>2019</v>
      </c>
      <c r="B525" s="53">
        <f>IF(OR(E525=0,E525=""),"",COUNTA($E$307:E525))</f>
        <v>200</v>
      </c>
      <c r="C525" s="53" t="s">
        <v>466</v>
      </c>
      <c r="D525" s="58" t="s">
        <v>1000</v>
      </c>
      <c r="E525" s="59">
        <v>1971</v>
      </c>
      <c r="F525" s="60">
        <v>1393.4</v>
      </c>
      <c r="G525" s="60">
        <v>1234.3</v>
      </c>
      <c r="H525" s="60">
        <v>0</v>
      </c>
      <c r="I525" s="60" t="s">
        <v>36</v>
      </c>
      <c r="J525" s="60"/>
      <c r="K525" s="60"/>
      <c r="L525" s="60"/>
      <c r="M525" s="60"/>
      <c r="N525" s="60"/>
      <c r="O525" s="60"/>
      <c r="P525" s="60">
        <f>1972*F525</f>
        <v>2747784.8</v>
      </c>
      <c r="Q525" s="60"/>
      <c r="R525" s="60">
        <f>1917*F525</f>
        <v>2671147.7999999998</v>
      </c>
      <c r="S525" s="60"/>
      <c r="T525" s="60"/>
      <c r="U525" s="60">
        <f>97*F525</f>
        <v>135159.79999999999</v>
      </c>
      <c r="V525" s="61"/>
      <c r="W525" s="62">
        <f t="shared" si="344"/>
        <v>5554092.4000000004</v>
      </c>
      <c r="X525" s="60" t="s">
        <v>18</v>
      </c>
      <c r="Y525" s="59">
        <v>0</v>
      </c>
      <c r="Z525" s="59">
        <v>0</v>
      </c>
      <c r="AA525" s="59">
        <v>0</v>
      </c>
      <c r="AB525" s="54">
        <f t="shared" si="345"/>
        <v>5554092.4000000004</v>
      </c>
    </row>
    <row r="526" spans="1:28" s="31" customFormat="1" ht="52.5" customHeight="1" x14ac:dyDescent="0.35">
      <c r="A526" s="31">
        <v>2019</v>
      </c>
      <c r="B526" s="53">
        <f>IF(OR(E526=0,E526=""),"",COUNTA($E$307:E526))</f>
        <v>201</v>
      </c>
      <c r="C526" s="53" t="s">
        <v>467</v>
      </c>
      <c r="D526" s="58" t="s">
        <v>1001</v>
      </c>
      <c r="E526" s="59">
        <v>1973</v>
      </c>
      <c r="F526" s="60">
        <v>1387.9</v>
      </c>
      <c r="G526" s="60">
        <v>1230.5999999999999</v>
      </c>
      <c r="H526" s="60">
        <v>0</v>
      </c>
      <c r="I526" s="60" t="s">
        <v>36</v>
      </c>
      <c r="J526" s="60"/>
      <c r="K526" s="60"/>
      <c r="L526" s="60"/>
      <c r="M526" s="60"/>
      <c r="N526" s="60"/>
      <c r="O526" s="60"/>
      <c r="P526" s="60">
        <f>1972*F526</f>
        <v>2736938.8</v>
      </c>
      <c r="Q526" s="60"/>
      <c r="R526" s="60">
        <f>1917*F526</f>
        <v>2660604.2999999998</v>
      </c>
      <c r="S526" s="60"/>
      <c r="T526" s="60"/>
      <c r="U526" s="60">
        <f>97*F526</f>
        <v>134626.29999999999</v>
      </c>
      <c r="V526" s="61"/>
      <c r="W526" s="62">
        <f t="shared" si="344"/>
        <v>5532169.4000000004</v>
      </c>
      <c r="X526" s="60" t="s">
        <v>18</v>
      </c>
      <c r="Y526" s="59">
        <v>0</v>
      </c>
      <c r="Z526" s="59">
        <v>0</v>
      </c>
      <c r="AA526" s="59">
        <v>0</v>
      </c>
      <c r="AB526" s="54">
        <f t="shared" si="345"/>
        <v>5532169.4000000004</v>
      </c>
    </row>
    <row r="527" spans="1:28" s="31" customFormat="1" ht="52.5" customHeight="1" x14ac:dyDescent="0.35">
      <c r="A527" s="31">
        <v>2019</v>
      </c>
      <c r="B527" s="53" t="str">
        <f>IF(OR(E527=0,E527=""),"",COUNTA($E$307:E527))</f>
        <v/>
      </c>
      <c r="C527" s="53"/>
      <c r="D527" s="58"/>
      <c r="E527" s="59"/>
      <c r="F527" s="54">
        <f>SUM(F518:F526)</f>
        <v>14549.9</v>
      </c>
      <c r="G527" s="54">
        <f>SUM(G518:G526)</f>
        <v>12256.6</v>
      </c>
      <c r="H527" s="54">
        <f>SUM(H518:H526)</f>
        <v>0</v>
      </c>
      <c r="I527" s="54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54">
        <f>SUM(W518:W526)</f>
        <v>57626229.799999997</v>
      </c>
      <c r="X527" s="60"/>
      <c r="Y527" s="52">
        <v>0</v>
      </c>
      <c r="Z527" s="52">
        <v>0</v>
      </c>
      <c r="AA527" s="52">
        <v>0</v>
      </c>
      <c r="AB527" s="54">
        <f>SUM(AB518:AB526)</f>
        <v>57626229.799999997</v>
      </c>
    </row>
    <row r="528" spans="1:28" s="31" customFormat="1" ht="52.5" customHeight="1" x14ac:dyDescent="0.35">
      <c r="A528" s="31">
        <v>2019</v>
      </c>
      <c r="B528" s="53" t="str">
        <f>IF(OR(E528=0,E528=""),"",COUNTA($E$307:E528))</f>
        <v/>
      </c>
      <c r="C528" s="53"/>
      <c r="D528" s="57" t="s">
        <v>1002</v>
      </c>
      <c r="E528" s="58"/>
      <c r="F528" s="54"/>
      <c r="G528" s="60"/>
      <c r="H528" s="54"/>
      <c r="I528" s="54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59"/>
      <c r="Z528" s="59"/>
      <c r="AA528" s="59"/>
      <c r="AB528" s="54"/>
    </row>
    <row r="529" spans="1:39" s="31" customFormat="1" ht="52.5" customHeight="1" x14ac:dyDescent="0.35">
      <c r="A529" s="31">
        <v>2019</v>
      </c>
      <c r="B529" s="53">
        <f>IF(OR(E529=0,E529=""),"",COUNTA($E$307:E529))</f>
        <v>202</v>
      </c>
      <c r="C529" s="53" t="s">
        <v>473</v>
      </c>
      <c r="D529" s="58" t="s">
        <v>1003</v>
      </c>
      <c r="E529" s="59">
        <v>1973</v>
      </c>
      <c r="F529" s="60">
        <v>5434.5</v>
      </c>
      <c r="G529" s="60">
        <v>3925.7</v>
      </c>
      <c r="H529" s="60">
        <v>0</v>
      </c>
      <c r="I529" s="60" t="s">
        <v>33</v>
      </c>
      <c r="J529" s="60">
        <v>1523274.5</v>
      </c>
      <c r="K529" s="60"/>
      <c r="L529" s="60"/>
      <c r="M529" s="60"/>
      <c r="N529" s="60"/>
      <c r="O529" s="60"/>
      <c r="P529" s="60">
        <f>1972*F529</f>
        <v>10716834</v>
      </c>
      <c r="Q529" s="60"/>
      <c r="R529" s="60">
        <f>1917*F529</f>
        <v>10417936.5</v>
      </c>
      <c r="S529" s="60"/>
      <c r="T529" s="60"/>
      <c r="U529" s="60">
        <f>204*F529</f>
        <v>1108638</v>
      </c>
      <c r="V529" s="61"/>
      <c r="W529" s="62">
        <f t="shared" ref="W529:W539" si="348">V529+U529+T529+S529+R529+Q529+P529+O529+N529+M529+L529+K529+J529</f>
        <v>23766683</v>
      </c>
      <c r="X529" s="60" t="s">
        <v>18</v>
      </c>
      <c r="Y529" s="59">
        <v>0</v>
      </c>
      <c r="Z529" s="59">
        <v>0</v>
      </c>
      <c r="AA529" s="59">
        <v>0</v>
      </c>
      <c r="AB529" s="56">
        <f t="shared" ref="AB529:AB539" si="349">W529-(Y529+Z529+AA529)</f>
        <v>23766683</v>
      </c>
    </row>
    <row r="530" spans="1:39" s="31" customFormat="1" ht="52.5" customHeight="1" x14ac:dyDescent="0.35">
      <c r="A530" s="31">
        <v>2019</v>
      </c>
      <c r="B530" s="53">
        <f>IF(OR(E530=0,E530=""),"",COUNTA($E$307:E530))</f>
        <v>203</v>
      </c>
      <c r="C530" s="53" t="s">
        <v>481</v>
      </c>
      <c r="D530" s="58" t="s">
        <v>1004</v>
      </c>
      <c r="E530" s="59">
        <v>1973</v>
      </c>
      <c r="F530" s="60">
        <v>5514.1</v>
      </c>
      <c r="G530" s="60">
        <v>3970.8</v>
      </c>
      <c r="H530" s="60">
        <v>0</v>
      </c>
      <c r="I530" s="60" t="s">
        <v>33</v>
      </c>
      <c r="J530" s="60"/>
      <c r="K530" s="60"/>
      <c r="L530" s="60"/>
      <c r="M530" s="60"/>
      <c r="N530" s="60"/>
      <c r="O530" s="60"/>
      <c r="P530" s="60">
        <f>1972*F530</f>
        <v>10873805.199999999</v>
      </c>
      <c r="Q530" s="60">
        <f>F530*113</f>
        <v>623093.30000000005</v>
      </c>
      <c r="R530" s="60">
        <f>1917*F530</f>
        <v>10570529.699999999</v>
      </c>
      <c r="S530" s="60">
        <f>F530*90</f>
        <v>496269</v>
      </c>
      <c r="T530" s="60"/>
      <c r="U530" s="60">
        <f>222*F530</f>
        <v>1224130.2</v>
      </c>
      <c r="V530" s="61"/>
      <c r="W530" s="62">
        <f t="shared" si="348"/>
        <v>23787827.399999999</v>
      </c>
      <c r="X530" s="60" t="s">
        <v>18</v>
      </c>
      <c r="Y530" s="59">
        <v>0</v>
      </c>
      <c r="Z530" s="59">
        <v>0</v>
      </c>
      <c r="AA530" s="59">
        <v>0</v>
      </c>
      <c r="AB530" s="54">
        <f t="shared" si="349"/>
        <v>23787827.399999999</v>
      </c>
    </row>
    <row r="531" spans="1:39" s="38" customFormat="1" ht="52.5" customHeight="1" x14ac:dyDescent="0.35">
      <c r="A531" s="31">
        <v>2019</v>
      </c>
      <c r="B531" s="53">
        <f>IF(OR(E531=0,E531=""),"",COUNTA($E$307:E531))</f>
        <v>204</v>
      </c>
      <c r="C531" s="53" t="s">
        <v>480</v>
      </c>
      <c r="D531" s="58" t="s">
        <v>1005</v>
      </c>
      <c r="E531" s="59">
        <v>1987</v>
      </c>
      <c r="F531" s="60">
        <v>9968.5</v>
      </c>
      <c r="G531" s="60">
        <v>7330.4</v>
      </c>
      <c r="H531" s="60">
        <v>0</v>
      </c>
      <c r="I531" s="60" t="s">
        <v>31</v>
      </c>
      <c r="J531" s="60"/>
      <c r="K531" s="60"/>
      <c r="L531" s="60"/>
      <c r="M531" s="60"/>
      <c r="N531" s="60"/>
      <c r="O531" s="60">
        <f>2150000*4</f>
        <v>8600000</v>
      </c>
      <c r="P531" s="60"/>
      <c r="Q531" s="60"/>
      <c r="R531" s="60"/>
      <c r="S531" s="60"/>
      <c r="T531" s="60"/>
      <c r="U531" s="60">
        <f>22*F531</f>
        <v>219307</v>
      </c>
      <c r="V531" s="60"/>
      <c r="W531" s="62">
        <f t="shared" si="348"/>
        <v>8819307</v>
      </c>
      <c r="X531" s="60" t="s">
        <v>18</v>
      </c>
      <c r="Y531" s="59">
        <v>0</v>
      </c>
      <c r="Z531" s="59">
        <v>0</v>
      </c>
      <c r="AA531" s="59">
        <v>0</v>
      </c>
      <c r="AB531" s="54">
        <f t="shared" si="349"/>
        <v>8819307</v>
      </c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</row>
    <row r="532" spans="1:39" s="38" customFormat="1" ht="52.5" customHeight="1" x14ac:dyDescent="0.35">
      <c r="A532" s="31">
        <v>2019</v>
      </c>
      <c r="B532" s="53">
        <f>IF(OR(E532=0,E532=""),"",COUNTA($E$307:E532))</f>
        <v>205</v>
      </c>
      <c r="C532" s="53" t="s">
        <v>485</v>
      </c>
      <c r="D532" s="58" t="s">
        <v>1006</v>
      </c>
      <c r="E532" s="59">
        <v>1988</v>
      </c>
      <c r="F532" s="60">
        <v>22632.400000000001</v>
      </c>
      <c r="G532" s="60">
        <v>16483.900000000001</v>
      </c>
      <c r="H532" s="60">
        <v>0</v>
      </c>
      <c r="I532" s="60" t="s">
        <v>31</v>
      </c>
      <c r="J532" s="60"/>
      <c r="K532" s="60"/>
      <c r="L532" s="60"/>
      <c r="M532" s="60"/>
      <c r="N532" s="60"/>
      <c r="O532" s="60">
        <f>2150000*8</f>
        <v>17200000</v>
      </c>
      <c r="P532" s="60"/>
      <c r="Q532" s="60"/>
      <c r="R532" s="60"/>
      <c r="S532" s="60"/>
      <c r="T532" s="60"/>
      <c r="U532" s="60">
        <f>22*F532</f>
        <v>497912.8</v>
      </c>
      <c r="V532" s="60"/>
      <c r="W532" s="62">
        <f t="shared" si="348"/>
        <v>17697912.800000001</v>
      </c>
      <c r="X532" s="60" t="s">
        <v>18</v>
      </c>
      <c r="Y532" s="59">
        <v>0</v>
      </c>
      <c r="Z532" s="59">
        <v>0</v>
      </c>
      <c r="AA532" s="59">
        <v>0</v>
      </c>
      <c r="AB532" s="54">
        <f t="shared" si="349"/>
        <v>17697912.800000001</v>
      </c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</row>
    <row r="533" spans="1:39" s="31" customFormat="1" ht="52.5" customHeight="1" x14ac:dyDescent="0.35">
      <c r="A533" s="31">
        <v>2019</v>
      </c>
      <c r="B533" s="53">
        <f>IF(OR(E533=0,E533=""),"",COUNTA($E$307:E533))</f>
        <v>206</v>
      </c>
      <c r="C533" s="53" t="s">
        <v>483</v>
      </c>
      <c r="D533" s="58" t="s">
        <v>1007</v>
      </c>
      <c r="E533" s="59">
        <v>1989</v>
      </c>
      <c r="F533" s="60">
        <v>9088.9</v>
      </c>
      <c r="G533" s="60">
        <v>6410</v>
      </c>
      <c r="H533" s="60">
        <v>0</v>
      </c>
      <c r="I533" s="60" t="s">
        <v>38</v>
      </c>
      <c r="J533" s="60"/>
      <c r="K533" s="60"/>
      <c r="L533" s="60"/>
      <c r="M533" s="60"/>
      <c r="N533" s="60"/>
      <c r="O533" s="60">
        <v>5300000</v>
      </c>
      <c r="P533" s="60"/>
      <c r="Q533" s="60"/>
      <c r="R533" s="60"/>
      <c r="S533" s="60"/>
      <c r="T533" s="60"/>
      <c r="U533" s="60">
        <f>24*F533</f>
        <v>218133.6</v>
      </c>
      <c r="V533" s="60"/>
      <c r="W533" s="62">
        <f t="shared" si="348"/>
        <v>5518133.5999999996</v>
      </c>
      <c r="X533" s="60" t="s">
        <v>18</v>
      </c>
      <c r="Y533" s="59">
        <v>0</v>
      </c>
      <c r="Z533" s="59">
        <v>0</v>
      </c>
      <c r="AA533" s="59">
        <v>0</v>
      </c>
      <c r="AB533" s="54">
        <f t="shared" si="349"/>
        <v>5518133.5999999996</v>
      </c>
    </row>
    <row r="534" spans="1:39" s="31" customFormat="1" ht="52.5" customHeight="1" x14ac:dyDescent="0.35">
      <c r="A534" s="31">
        <v>2019</v>
      </c>
      <c r="B534" s="53">
        <f>IF(OR(E534=0,E534=""),"",COUNTA($E$307:E534))</f>
        <v>207</v>
      </c>
      <c r="C534" s="53" t="s">
        <v>472</v>
      </c>
      <c r="D534" s="58" t="s">
        <v>1008</v>
      </c>
      <c r="E534" s="58">
        <v>1973</v>
      </c>
      <c r="F534" s="60">
        <v>5131.3</v>
      </c>
      <c r="G534" s="60">
        <v>2634.7</v>
      </c>
      <c r="H534" s="60">
        <v>1413</v>
      </c>
      <c r="I534" s="60" t="s">
        <v>33</v>
      </c>
      <c r="J534" s="60"/>
      <c r="K534" s="60"/>
      <c r="L534" s="60"/>
      <c r="M534" s="60"/>
      <c r="N534" s="60"/>
      <c r="O534" s="60"/>
      <c r="P534" s="60">
        <f t="shared" ref="P534:P539" si="350">1972*F534</f>
        <v>10118923.6</v>
      </c>
      <c r="Q534" s="60"/>
      <c r="R534" s="60">
        <f t="shared" ref="R534:R539" si="351">1917*F534</f>
        <v>9836702.0999999996</v>
      </c>
      <c r="S534" s="60"/>
      <c r="T534" s="60"/>
      <c r="U534" s="60">
        <f t="shared" ref="U534:U539" si="352">97*F534</f>
        <v>497736.1</v>
      </c>
      <c r="V534" s="61"/>
      <c r="W534" s="62">
        <f t="shared" si="348"/>
        <v>20453361.800000001</v>
      </c>
      <c r="X534" s="60" t="s">
        <v>18</v>
      </c>
      <c r="Y534" s="59">
        <v>0</v>
      </c>
      <c r="Z534" s="59">
        <v>0</v>
      </c>
      <c r="AA534" s="59">
        <v>0</v>
      </c>
      <c r="AB534" s="54">
        <f t="shared" si="349"/>
        <v>20453361.800000001</v>
      </c>
    </row>
    <row r="535" spans="1:39" s="31" customFormat="1" ht="52.5" customHeight="1" x14ac:dyDescent="0.35">
      <c r="A535" s="31">
        <v>2019</v>
      </c>
      <c r="B535" s="53">
        <f>IF(OR(E535=0,E535=""),"",COUNTA($E$307:E535))</f>
        <v>208</v>
      </c>
      <c r="C535" s="53" t="s">
        <v>475</v>
      </c>
      <c r="D535" s="58" t="s">
        <v>1009</v>
      </c>
      <c r="E535" s="58">
        <v>1973</v>
      </c>
      <c r="F535" s="60">
        <v>5858.9</v>
      </c>
      <c r="G535" s="60">
        <v>4079.4</v>
      </c>
      <c r="H535" s="60">
        <v>401.7</v>
      </c>
      <c r="I535" s="60" t="s">
        <v>33</v>
      </c>
      <c r="J535" s="60"/>
      <c r="K535" s="60"/>
      <c r="L535" s="60"/>
      <c r="M535" s="60"/>
      <c r="N535" s="60"/>
      <c r="O535" s="60"/>
      <c r="P535" s="60">
        <f t="shared" si="350"/>
        <v>11553750.800000001</v>
      </c>
      <c r="Q535" s="60"/>
      <c r="R535" s="60">
        <f t="shared" si="351"/>
        <v>11231511.300000001</v>
      </c>
      <c r="S535" s="60"/>
      <c r="T535" s="60"/>
      <c r="U535" s="60">
        <f t="shared" si="352"/>
        <v>568313.30000000005</v>
      </c>
      <c r="V535" s="61"/>
      <c r="W535" s="62">
        <f t="shared" si="348"/>
        <v>23353575.399999999</v>
      </c>
      <c r="X535" s="60" t="s">
        <v>18</v>
      </c>
      <c r="Y535" s="59">
        <v>0</v>
      </c>
      <c r="Z535" s="59">
        <v>0</v>
      </c>
      <c r="AA535" s="59">
        <v>0</v>
      </c>
      <c r="AB535" s="54">
        <f t="shared" si="349"/>
        <v>23353575.399999999</v>
      </c>
    </row>
    <row r="536" spans="1:39" s="31" customFormat="1" ht="52.5" customHeight="1" x14ac:dyDescent="0.35">
      <c r="A536" s="31">
        <v>2019</v>
      </c>
      <c r="B536" s="53">
        <f>IF(OR(E536=0,E536=""),"",COUNTA($E$307:E536))</f>
        <v>209</v>
      </c>
      <c r="C536" s="53" t="s">
        <v>476</v>
      </c>
      <c r="D536" s="58" t="s">
        <v>1010</v>
      </c>
      <c r="E536" s="58">
        <v>1969</v>
      </c>
      <c r="F536" s="60">
        <v>4974</v>
      </c>
      <c r="G536" s="60">
        <v>3840.9</v>
      </c>
      <c r="H536" s="60">
        <v>0</v>
      </c>
      <c r="I536" s="60" t="s">
        <v>33</v>
      </c>
      <c r="J536" s="60"/>
      <c r="K536" s="60"/>
      <c r="L536" s="60"/>
      <c r="M536" s="60"/>
      <c r="N536" s="60"/>
      <c r="O536" s="60"/>
      <c r="P536" s="60">
        <f t="shared" si="350"/>
        <v>9808728</v>
      </c>
      <c r="Q536" s="60"/>
      <c r="R536" s="60">
        <f t="shared" si="351"/>
        <v>9535158</v>
      </c>
      <c r="S536" s="60"/>
      <c r="T536" s="60"/>
      <c r="U536" s="60">
        <f t="shared" si="352"/>
        <v>482478</v>
      </c>
      <c r="V536" s="61"/>
      <c r="W536" s="62">
        <f t="shared" si="348"/>
        <v>19826364</v>
      </c>
      <c r="X536" s="60" t="s">
        <v>18</v>
      </c>
      <c r="Y536" s="59">
        <v>0</v>
      </c>
      <c r="Z536" s="59">
        <v>0</v>
      </c>
      <c r="AA536" s="59">
        <v>0</v>
      </c>
      <c r="AB536" s="54">
        <f t="shared" si="349"/>
        <v>19826364</v>
      </c>
    </row>
    <row r="537" spans="1:39" s="31" customFormat="1" ht="52.5" customHeight="1" x14ac:dyDescent="0.35">
      <c r="A537" s="31">
        <v>2019</v>
      </c>
      <c r="B537" s="53">
        <f>IF(OR(E537=0,E537=""),"",COUNTA($E$307:E537))</f>
        <v>210</v>
      </c>
      <c r="C537" s="53" t="s">
        <v>477</v>
      </c>
      <c r="D537" s="58" t="s">
        <v>1011</v>
      </c>
      <c r="E537" s="58">
        <v>1971</v>
      </c>
      <c r="F537" s="60">
        <v>5414</v>
      </c>
      <c r="G537" s="60">
        <v>3845.3</v>
      </c>
      <c r="H537" s="60">
        <v>0</v>
      </c>
      <c r="I537" s="60" t="s">
        <v>33</v>
      </c>
      <c r="J537" s="60"/>
      <c r="K537" s="60"/>
      <c r="L537" s="60"/>
      <c r="M537" s="60"/>
      <c r="N537" s="60"/>
      <c r="O537" s="60"/>
      <c r="P537" s="60">
        <f t="shared" si="350"/>
        <v>10676408</v>
      </c>
      <c r="Q537" s="60"/>
      <c r="R537" s="60">
        <f t="shared" si="351"/>
        <v>10378638</v>
      </c>
      <c r="S537" s="60"/>
      <c r="T537" s="60"/>
      <c r="U537" s="60">
        <f t="shared" si="352"/>
        <v>525158</v>
      </c>
      <c r="V537" s="61"/>
      <c r="W537" s="62">
        <f t="shared" si="348"/>
        <v>21580204</v>
      </c>
      <c r="X537" s="60" t="s">
        <v>18</v>
      </c>
      <c r="Y537" s="59">
        <v>0</v>
      </c>
      <c r="Z537" s="59">
        <v>0</v>
      </c>
      <c r="AA537" s="59">
        <v>0</v>
      </c>
      <c r="AB537" s="54">
        <f t="shared" si="349"/>
        <v>21580204</v>
      </c>
    </row>
    <row r="538" spans="1:39" s="31" customFormat="1" ht="52.5" customHeight="1" x14ac:dyDescent="0.35">
      <c r="A538" s="31">
        <v>2019</v>
      </c>
      <c r="B538" s="53">
        <f>IF(OR(E538=0,E538=""),"",COUNTA($E$307:E538))</f>
        <v>211</v>
      </c>
      <c r="C538" s="53" t="s">
        <v>478</v>
      </c>
      <c r="D538" s="58" t="s">
        <v>1012</v>
      </c>
      <c r="E538" s="58">
        <v>1971</v>
      </c>
      <c r="F538" s="60">
        <v>5303.7</v>
      </c>
      <c r="G538" s="60">
        <v>3798.5</v>
      </c>
      <c r="H538" s="60">
        <v>0</v>
      </c>
      <c r="I538" s="60" t="s">
        <v>33</v>
      </c>
      <c r="J538" s="60"/>
      <c r="K538" s="60"/>
      <c r="L538" s="60"/>
      <c r="M538" s="60"/>
      <c r="N538" s="60"/>
      <c r="O538" s="60"/>
      <c r="P538" s="60">
        <f t="shared" si="350"/>
        <v>10458896.4</v>
      </c>
      <c r="Q538" s="60"/>
      <c r="R538" s="60">
        <f t="shared" si="351"/>
        <v>10167192.9</v>
      </c>
      <c r="S538" s="60"/>
      <c r="T538" s="60"/>
      <c r="U538" s="60">
        <f t="shared" si="352"/>
        <v>514458.9</v>
      </c>
      <c r="V538" s="61"/>
      <c r="W538" s="62">
        <f t="shared" si="348"/>
        <v>21140548.199999999</v>
      </c>
      <c r="X538" s="60" t="s">
        <v>18</v>
      </c>
      <c r="Y538" s="59">
        <v>0</v>
      </c>
      <c r="Z538" s="59">
        <v>0</v>
      </c>
      <c r="AA538" s="59">
        <v>0</v>
      </c>
      <c r="AB538" s="54">
        <f t="shared" si="349"/>
        <v>21140548.199999999</v>
      </c>
    </row>
    <row r="539" spans="1:39" s="31" customFormat="1" ht="52.5" customHeight="1" x14ac:dyDescent="0.35">
      <c r="A539" s="31">
        <v>2019</v>
      </c>
      <c r="B539" s="53">
        <f>IF(OR(E539=0,E539=""),"",COUNTA($E$307:E539))</f>
        <v>212</v>
      </c>
      <c r="C539" s="53" t="s">
        <v>479</v>
      </c>
      <c r="D539" s="58" t="s">
        <v>1013</v>
      </c>
      <c r="E539" s="58">
        <v>1972</v>
      </c>
      <c r="F539" s="60">
        <v>5334.7</v>
      </c>
      <c r="G539" s="60">
        <v>3826.1</v>
      </c>
      <c r="H539" s="60">
        <v>0</v>
      </c>
      <c r="I539" s="60" t="s">
        <v>33</v>
      </c>
      <c r="J539" s="60"/>
      <c r="K539" s="60"/>
      <c r="L539" s="60"/>
      <c r="M539" s="60"/>
      <c r="N539" s="60"/>
      <c r="O539" s="60"/>
      <c r="P539" s="60">
        <f t="shared" si="350"/>
        <v>10520028.4</v>
      </c>
      <c r="Q539" s="60"/>
      <c r="R539" s="60">
        <f t="shared" si="351"/>
        <v>10226619.9</v>
      </c>
      <c r="S539" s="60"/>
      <c r="T539" s="60"/>
      <c r="U539" s="60">
        <f t="shared" si="352"/>
        <v>517465.9</v>
      </c>
      <c r="V539" s="61"/>
      <c r="W539" s="62">
        <f t="shared" si="348"/>
        <v>21264114.199999999</v>
      </c>
      <c r="X539" s="60" t="s">
        <v>18</v>
      </c>
      <c r="Y539" s="59">
        <v>0</v>
      </c>
      <c r="Z539" s="59">
        <v>0</v>
      </c>
      <c r="AA539" s="59">
        <v>0</v>
      </c>
      <c r="AB539" s="54">
        <f t="shared" si="349"/>
        <v>21264114.199999999</v>
      </c>
    </row>
    <row r="540" spans="1:39" s="31" customFormat="1" ht="52.5" customHeight="1" x14ac:dyDescent="0.35">
      <c r="A540" s="31">
        <v>2019</v>
      </c>
      <c r="B540" s="53" t="str">
        <f>IF(OR(E540=0,E540=""),"",COUNTA($E$307:E540))</f>
        <v/>
      </c>
      <c r="C540" s="53"/>
      <c r="D540" s="58"/>
      <c r="E540" s="59"/>
      <c r="F540" s="54">
        <f>SUM(F529:F539)</f>
        <v>84655</v>
      </c>
      <c r="G540" s="54">
        <f>SUM(G529:G539)</f>
        <v>60145.7</v>
      </c>
      <c r="H540" s="54">
        <f>SUM(H529:H539)</f>
        <v>1814.7</v>
      </c>
      <c r="I540" s="54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56">
        <f>SUM(W529:W539)</f>
        <v>207208031.40000001</v>
      </c>
      <c r="X540" s="60"/>
      <c r="Y540" s="52">
        <v>0</v>
      </c>
      <c r="Z540" s="52">
        <v>0</v>
      </c>
      <c r="AA540" s="52">
        <v>0</v>
      </c>
      <c r="AB540" s="54">
        <f>SUM(AB529:AB539)</f>
        <v>207208031.40000001</v>
      </c>
    </row>
    <row r="541" spans="1:39" s="31" customFormat="1" ht="52.5" customHeight="1" x14ac:dyDescent="0.35">
      <c r="A541" s="31">
        <v>2019</v>
      </c>
      <c r="B541" s="53" t="str">
        <f>IF(OR(E541=0,E541=""),"",COUNTA($E$307:E541))</f>
        <v/>
      </c>
      <c r="C541" s="53"/>
      <c r="D541" s="57" t="s">
        <v>80</v>
      </c>
      <c r="E541" s="58"/>
      <c r="F541" s="54"/>
      <c r="G541" s="60"/>
      <c r="H541" s="54"/>
      <c r="I541" s="54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59"/>
      <c r="Z541" s="59"/>
      <c r="AA541" s="59"/>
      <c r="AB541" s="54"/>
    </row>
    <row r="542" spans="1:39" s="31" customFormat="1" ht="52.5" customHeight="1" x14ac:dyDescent="0.35">
      <c r="A542" s="31">
        <v>2019</v>
      </c>
      <c r="B542" s="53">
        <f>IF(OR(E542=0,E542=""),"",COUNTA($E$307:E542))</f>
        <v>213</v>
      </c>
      <c r="C542" s="53" t="s">
        <v>500</v>
      </c>
      <c r="D542" s="58" t="s">
        <v>1014</v>
      </c>
      <c r="E542" s="59">
        <v>1960</v>
      </c>
      <c r="F542" s="60">
        <v>1540.08</v>
      </c>
      <c r="G542" s="60">
        <v>933.17</v>
      </c>
      <c r="H542" s="60">
        <v>606.91</v>
      </c>
      <c r="I542" s="60" t="s">
        <v>35</v>
      </c>
      <c r="J542" s="60"/>
      <c r="K542" s="60"/>
      <c r="L542" s="60"/>
      <c r="M542" s="60"/>
      <c r="N542" s="60"/>
      <c r="O542" s="60"/>
      <c r="P542" s="60">
        <f t="shared" ref="P542:P544" si="353">1919*F542</f>
        <v>2955413.52</v>
      </c>
      <c r="Q542" s="60"/>
      <c r="R542" s="60">
        <f>1853*F542</f>
        <v>2853768.24</v>
      </c>
      <c r="S542" s="60"/>
      <c r="T542" s="60"/>
      <c r="U542" s="60">
        <f>119*F542</f>
        <v>183269.52</v>
      </c>
      <c r="V542" s="60"/>
      <c r="W542" s="62">
        <f t="shared" ref="W542:W549" si="354">V542+U542+T542+S542+R542+Q542+P542+O542+N542+M542+L542+K542+J542</f>
        <v>5992451.2800000003</v>
      </c>
      <c r="X542" s="60" t="s">
        <v>18</v>
      </c>
      <c r="Y542" s="59">
        <v>0</v>
      </c>
      <c r="Z542" s="59">
        <v>0</v>
      </c>
      <c r="AA542" s="59">
        <v>0</v>
      </c>
      <c r="AB542" s="54">
        <f t="shared" ref="AB542:AB549" si="355">W542-(Y542+Z542+AA542)</f>
        <v>5992451.2800000003</v>
      </c>
    </row>
    <row r="543" spans="1:39" s="31" customFormat="1" ht="52.5" customHeight="1" x14ac:dyDescent="0.35">
      <c r="A543" s="31">
        <v>2019</v>
      </c>
      <c r="B543" s="53">
        <f>IF(OR(E543=0,E543=""),"",COUNTA($E$307:E543))</f>
        <v>214</v>
      </c>
      <c r="C543" s="53" t="s">
        <v>494</v>
      </c>
      <c r="D543" s="58" t="s">
        <v>1015</v>
      </c>
      <c r="E543" s="59">
        <v>1961</v>
      </c>
      <c r="F543" s="60">
        <v>812.8</v>
      </c>
      <c r="G543" s="60">
        <v>537.4</v>
      </c>
      <c r="H543" s="60">
        <v>0</v>
      </c>
      <c r="I543" s="60" t="s">
        <v>35</v>
      </c>
      <c r="J543" s="60"/>
      <c r="K543" s="60"/>
      <c r="L543" s="60"/>
      <c r="M543" s="60"/>
      <c r="N543" s="60"/>
      <c r="O543" s="60"/>
      <c r="P543" s="60">
        <f t="shared" si="353"/>
        <v>1559763.2</v>
      </c>
      <c r="Q543" s="60"/>
      <c r="R543" s="60">
        <f>1853*F543</f>
        <v>1506118.4</v>
      </c>
      <c r="S543" s="60"/>
      <c r="T543" s="60"/>
      <c r="U543" s="60">
        <f>119*F543</f>
        <v>96723.199999999997</v>
      </c>
      <c r="V543" s="60"/>
      <c r="W543" s="62">
        <f t="shared" si="354"/>
        <v>3162604.8</v>
      </c>
      <c r="X543" s="60" t="s">
        <v>18</v>
      </c>
      <c r="Y543" s="59">
        <v>0</v>
      </c>
      <c r="Z543" s="59">
        <v>0</v>
      </c>
      <c r="AA543" s="59">
        <v>0</v>
      </c>
      <c r="AB543" s="54">
        <f t="shared" si="355"/>
        <v>3162604.8</v>
      </c>
    </row>
    <row r="544" spans="1:39" s="31" customFormat="1" ht="52.5" customHeight="1" x14ac:dyDescent="0.35">
      <c r="A544" s="31">
        <v>2019</v>
      </c>
      <c r="B544" s="53">
        <f>IF(OR(E544=0,E544=""),"",COUNTA($E$307:E544))</f>
        <v>215</v>
      </c>
      <c r="C544" s="53" t="s">
        <v>496</v>
      </c>
      <c r="D544" s="58" t="s">
        <v>1016</v>
      </c>
      <c r="E544" s="59">
        <v>1961</v>
      </c>
      <c r="F544" s="60">
        <v>1961</v>
      </c>
      <c r="G544" s="60">
        <v>767.6</v>
      </c>
      <c r="H544" s="60">
        <v>0</v>
      </c>
      <c r="I544" s="60" t="s">
        <v>35</v>
      </c>
      <c r="J544" s="60"/>
      <c r="K544" s="60"/>
      <c r="L544" s="60"/>
      <c r="M544" s="60"/>
      <c r="N544" s="60"/>
      <c r="O544" s="60"/>
      <c r="P544" s="60">
        <f t="shared" si="353"/>
        <v>3763159</v>
      </c>
      <c r="Q544" s="60"/>
      <c r="R544" s="60">
        <f>1853*F544</f>
        <v>3633733</v>
      </c>
      <c r="S544" s="60"/>
      <c r="T544" s="60"/>
      <c r="U544" s="60">
        <f>119*F544</f>
        <v>233359</v>
      </c>
      <c r="V544" s="60"/>
      <c r="W544" s="62">
        <f t="shared" si="354"/>
        <v>7630251</v>
      </c>
      <c r="X544" s="60" t="s">
        <v>18</v>
      </c>
      <c r="Y544" s="59">
        <v>0</v>
      </c>
      <c r="Z544" s="59">
        <v>0</v>
      </c>
      <c r="AA544" s="59">
        <v>0</v>
      </c>
      <c r="AB544" s="54">
        <f t="shared" si="355"/>
        <v>7630251</v>
      </c>
    </row>
    <row r="545" spans="1:28" s="31" customFormat="1" ht="52.5" customHeight="1" x14ac:dyDescent="0.35">
      <c r="A545" s="31">
        <v>2019</v>
      </c>
      <c r="B545" s="53">
        <f>IF(OR(E545=0,E545=""),"",COUNTA($E$307:E545))</f>
        <v>216</v>
      </c>
      <c r="C545" s="53" t="s">
        <v>493</v>
      </c>
      <c r="D545" s="58" t="s">
        <v>1017</v>
      </c>
      <c r="E545" s="59">
        <v>1963</v>
      </c>
      <c r="F545" s="60">
        <v>1219.5</v>
      </c>
      <c r="G545" s="60">
        <v>856.5</v>
      </c>
      <c r="H545" s="60">
        <v>0</v>
      </c>
      <c r="I545" s="60" t="s">
        <v>36</v>
      </c>
      <c r="J545" s="60"/>
      <c r="K545" s="60"/>
      <c r="L545" s="60"/>
      <c r="M545" s="60"/>
      <c r="N545" s="60"/>
      <c r="O545" s="60"/>
      <c r="P545" s="60">
        <f>1972*F545</f>
        <v>2404854</v>
      </c>
      <c r="Q545" s="60"/>
      <c r="R545" s="60">
        <f>1917*F545</f>
        <v>2337781.5</v>
      </c>
      <c r="S545" s="60"/>
      <c r="T545" s="60"/>
      <c r="U545" s="60"/>
      <c r="V545" s="61"/>
      <c r="W545" s="62">
        <f t="shared" si="354"/>
        <v>4742635.5</v>
      </c>
      <c r="X545" s="60" t="s">
        <v>18</v>
      </c>
      <c r="Y545" s="59">
        <v>0</v>
      </c>
      <c r="Z545" s="59">
        <v>0</v>
      </c>
      <c r="AA545" s="59">
        <v>0</v>
      </c>
      <c r="AB545" s="54">
        <f t="shared" si="355"/>
        <v>4742635.5</v>
      </c>
    </row>
    <row r="546" spans="1:28" s="31" customFormat="1" ht="52.5" customHeight="1" x14ac:dyDescent="0.35">
      <c r="A546" s="31">
        <v>2019</v>
      </c>
      <c r="B546" s="53">
        <f>IF(OR(E546=0,E546=""),"",COUNTA($E$307:E546))</f>
        <v>217</v>
      </c>
      <c r="C546" s="53" t="s">
        <v>495</v>
      </c>
      <c r="D546" s="58" t="s">
        <v>1018</v>
      </c>
      <c r="E546" s="59">
        <v>1963</v>
      </c>
      <c r="F546" s="60">
        <v>1351.3</v>
      </c>
      <c r="G546" s="60">
        <v>822.7</v>
      </c>
      <c r="H546" s="60">
        <v>0</v>
      </c>
      <c r="I546" s="60" t="s">
        <v>36</v>
      </c>
      <c r="J546" s="60"/>
      <c r="K546" s="60"/>
      <c r="L546" s="60"/>
      <c r="M546" s="60"/>
      <c r="N546" s="60"/>
      <c r="O546" s="60"/>
      <c r="P546" s="60">
        <f>1972*F546</f>
        <v>2664763.6</v>
      </c>
      <c r="Q546" s="60"/>
      <c r="R546" s="60">
        <f>1917*F546</f>
        <v>2590442.1</v>
      </c>
      <c r="S546" s="60"/>
      <c r="T546" s="60"/>
      <c r="U546" s="60"/>
      <c r="V546" s="61"/>
      <c r="W546" s="62">
        <f t="shared" si="354"/>
        <v>5255205.7</v>
      </c>
      <c r="X546" s="60" t="s">
        <v>18</v>
      </c>
      <c r="Y546" s="59">
        <v>0</v>
      </c>
      <c r="Z546" s="59">
        <v>0</v>
      </c>
      <c r="AA546" s="59">
        <v>0</v>
      </c>
      <c r="AB546" s="54">
        <f t="shared" si="355"/>
        <v>5255205.7</v>
      </c>
    </row>
    <row r="547" spans="1:28" s="31" customFormat="1" ht="52.5" customHeight="1" x14ac:dyDescent="0.35">
      <c r="A547" s="31">
        <v>2019</v>
      </c>
      <c r="B547" s="53">
        <f>IF(OR(E547=0,E547=""),"",COUNTA($E$307:E547))</f>
        <v>218</v>
      </c>
      <c r="C547" s="53" t="s">
        <v>497</v>
      </c>
      <c r="D547" s="58" t="s">
        <v>1019</v>
      </c>
      <c r="E547" s="59">
        <v>1963</v>
      </c>
      <c r="F547" s="60">
        <v>1041.92</v>
      </c>
      <c r="G547" s="60">
        <v>807.38</v>
      </c>
      <c r="H547" s="60">
        <v>234.54</v>
      </c>
      <c r="I547" s="60" t="s">
        <v>35</v>
      </c>
      <c r="J547" s="60"/>
      <c r="K547" s="60"/>
      <c r="L547" s="60"/>
      <c r="M547" s="60"/>
      <c r="N547" s="60"/>
      <c r="O547" s="60"/>
      <c r="P547" s="60">
        <f>1919*F547</f>
        <v>1999444.48</v>
      </c>
      <c r="Q547" s="60"/>
      <c r="R547" s="60">
        <f>1853*F547</f>
        <v>1930677.76</v>
      </c>
      <c r="S547" s="60"/>
      <c r="T547" s="60"/>
      <c r="U547" s="60">
        <f>119*F547</f>
        <v>123988.48</v>
      </c>
      <c r="V547" s="60"/>
      <c r="W547" s="62">
        <f t="shared" si="354"/>
        <v>4054110.72</v>
      </c>
      <c r="X547" s="60" t="s">
        <v>18</v>
      </c>
      <c r="Y547" s="59">
        <v>0</v>
      </c>
      <c r="Z547" s="59">
        <v>0</v>
      </c>
      <c r="AA547" s="59">
        <v>0</v>
      </c>
      <c r="AB547" s="54">
        <f t="shared" si="355"/>
        <v>4054110.72</v>
      </c>
    </row>
    <row r="548" spans="1:28" s="31" customFormat="1" ht="52.5" customHeight="1" x14ac:dyDescent="0.35">
      <c r="A548" s="31">
        <v>2019</v>
      </c>
      <c r="B548" s="53">
        <f>IF(OR(E548=0,E548=""),"",COUNTA($E$307:E548))</f>
        <v>219</v>
      </c>
      <c r="C548" s="53" t="s">
        <v>498</v>
      </c>
      <c r="D548" s="58" t="s">
        <v>1020</v>
      </c>
      <c r="E548" s="59">
        <v>1963</v>
      </c>
      <c r="F548" s="60">
        <v>3542.42</v>
      </c>
      <c r="G548" s="60">
        <v>1915.61</v>
      </c>
      <c r="H548" s="60">
        <v>1568.01</v>
      </c>
      <c r="I548" s="60" t="s">
        <v>36</v>
      </c>
      <c r="J548" s="60"/>
      <c r="K548" s="60"/>
      <c r="L548" s="60"/>
      <c r="M548" s="60"/>
      <c r="N548" s="60"/>
      <c r="O548" s="60"/>
      <c r="P548" s="60">
        <f>1972*F548</f>
        <v>6985652.2400000002</v>
      </c>
      <c r="Q548" s="60"/>
      <c r="R548" s="60">
        <f>1917*F548</f>
        <v>6790819.1399999997</v>
      </c>
      <c r="S548" s="60"/>
      <c r="T548" s="60"/>
      <c r="U548" s="60">
        <f>97*F548</f>
        <v>343614.74</v>
      </c>
      <c r="V548" s="61"/>
      <c r="W548" s="62">
        <f t="shared" si="354"/>
        <v>14120086.119999999</v>
      </c>
      <c r="X548" s="60" t="s">
        <v>18</v>
      </c>
      <c r="Y548" s="59">
        <v>0</v>
      </c>
      <c r="Z548" s="59">
        <v>0</v>
      </c>
      <c r="AA548" s="59">
        <v>0</v>
      </c>
      <c r="AB548" s="54">
        <f t="shared" si="355"/>
        <v>14120086.119999999</v>
      </c>
    </row>
    <row r="549" spans="1:28" s="31" customFormat="1" ht="52.5" customHeight="1" x14ac:dyDescent="0.35">
      <c r="A549" s="31">
        <v>2019</v>
      </c>
      <c r="B549" s="53">
        <f>IF(OR(E549=0,E549=""),"",COUNTA($E$307:E549))</f>
        <v>220</v>
      </c>
      <c r="C549" s="53" t="s">
        <v>499</v>
      </c>
      <c r="D549" s="58" t="s">
        <v>1021</v>
      </c>
      <c r="E549" s="59">
        <v>1966</v>
      </c>
      <c r="F549" s="60">
        <v>1944.1</v>
      </c>
      <c r="G549" s="60">
        <v>1349.3</v>
      </c>
      <c r="H549" s="60">
        <v>0</v>
      </c>
      <c r="I549" s="60" t="s">
        <v>36</v>
      </c>
      <c r="J549" s="60"/>
      <c r="K549" s="60"/>
      <c r="L549" s="60"/>
      <c r="M549" s="60"/>
      <c r="N549" s="60"/>
      <c r="O549" s="60"/>
      <c r="P549" s="60">
        <f>1972*F549</f>
        <v>3833765.2</v>
      </c>
      <c r="Q549" s="60"/>
      <c r="R549" s="60">
        <f>1917*F549</f>
        <v>3726839.7</v>
      </c>
      <c r="S549" s="60"/>
      <c r="T549" s="60"/>
      <c r="U549" s="60"/>
      <c r="V549" s="61"/>
      <c r="W549" s="62">
        <f t="shared" si="354"/>
        <v>7560604.9000000004</v>
      </c>
      <c r="X549" s="60" t="s">
        <v>18</v>
      </c>
      <c r="Y549" s="59">
        <v>0</v>
      </c>
      <c r="Z549" s="59">
        <v>0</v>
      </c>
      <c r="AA549" s="59">
        <v>0</v>
      </c>
      <c r="AB549" s="54">
        <f t="shared" si="355"/>
        <v>7560604.9000000004</v>
      </c>
    </row>
    <row r="550" spans="1:28" s="31" customFormat="1" ht="52.5" customHeight="1" x14ac:dyDescent="0.35">
      <c r="A550" s="31">
        <v>2019</v>
      </c>
      <c r="B550" s="53" t="str">
        <f>IF(OR(E550=0,E550=""),"",COUNTA($E$307:E550))</f>
        <v/>
      </c>
      <c r="C550" s="53"/>
      <c r="D550" s="58"/>
      <c r="E550" s="59"/>
      <c r="F550" s="54">
        <f>SUM(F542:F549)</f>
        <v>13413.12</v>
      </c>
      <c r="G550" s="54">
        <f>SUM(G542:G549)</f>
        <v>7989.66</v>
      </c>
      <c r="H550" s="54">
        <f>SUM(H542:H549)</f>
        <v>2409.46</v>
      </c>
      <c r="I550" s="54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56">
        <f>SUM(W542:W549)</f>
        <v>52517950.020000003</v>
      </c>
      <c r="X550" s="60"/>
      <c r="Y550" s="52">
        <v>0</v>
      </c>
      <c r="Z550" s="52">
        <v>0</v>
      </c>
      <c r="AA550" s="52">
        <v>0</v>
      </c>
      <c r="AB550" s="54">
        <f>SUM(AB542:AB549)</f>
        <v>52517950.020000003</v>
      </c>
    </row>
    <row r="551" spans="1:28" s="31" customFormat="1" ht="52.5" customHeight="1" x14ac:dyDescent="0.35">
      <c r="A551" s="31">
        <v>2019</v>
      </c>
      <c r="B551" s="53" t="str">
        <f>IF(OR(E551=0,E551=""),"",COUNTA($E$307:E551))</f>
        <v/>
      </c>
      <c r="C551" s="53"/>
      <c r="D551" s="57" t="s">
        <v>50</v>
      </c>
      <c r="E551" s="59"/>
      <c r="F551" s="54"/>
      <c r="G551" s="54"/>
      <c r="H551" s="54"/>
      <c r="I551" s="54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54"/>
      <c r="X551" s="60"/>
      <c r="Y551" s="59"/>
      <c r="Z551" s="59"/>
      <c r="AA551" s="59"/>
      <c r="AB551" s="54"/>
    </row>
    <row r="552" spans="1:28" s="31" customFormat="1" ht="52.5" customHeight="1" x14ac:dyDescent="0.35">
      <c r="B552" s="53">
        <f>IF(OR(E552=0,E552=""),"",COUNTA($E$307:E552))</f>
        <v>221</v>
      </c>
      <c r="C552" s="53" t="s">
        <v>512</v>
      </c>
      <c r="D552" s="82" t="s">
        <v>65</v>
      </c>
      <c r="E552" s="59">
        <v>1980</v>
      </c>
      <c r="F552" s="60">
        <v>1014.3</v>
      </c>
      <c r="G552" s="60">
        <v>619.79999999999995</v>
      </c>
      <c r="H552" s="60">
        <v>0</v>
      </c>
      <c r="I552" s="60" t="s">
        <v>34</v>
      </c>
      <c r="J552" s="60"/>
      <c r="K552" s="60"/>
      <c r="L552" s="60"/>
      <c r="M552" s="60"/>
      <c r="N552" s="60"/>
      <c r="O552" s="60"/>
      <c r="P552" s="60">
        <f t="shared" ref="P552:P553" si="356">1919*F552</f>
        <v>1946441.7</v>
      </c>
      <c r="Q552" s="60"/>
      <c r="R552" s="60"/>
      <c r="S552" s="60"/>
      <c r="T552" s="60"/>
      <c r="U552" s="60"/>
      <c r="V552" s="60"/>
      <c r="W552" s="62">
        <f>V552+U552+T552+S552+R552+Q552+P552+O552+N552+M552+L552+K552+J552</f>
        <v>1946441.7</v>
      </c>
      <c r="X552" s="60" t="s">
        <v>18</v>
      </c>
      <c r="Y552" s="59">
        <v>0</v>
      </c>
      <c r="Z552" s="59">
        <v>0</v>
      </c>
      <c r="AA552" s="59">
        <v>0</v>
      </c>
      <c r="AB552" s="54">
        <f>W552-(Y552+Z552+AA552)</f>
        <v>1946441.7</v>
      </c>
    </row>
    <row r="553" spans="1:28" s="31" customFormat="1" ht="52.5" customHeight="1" x14ac:dyDescent="0.35">
      <c r="B553" s="53">
        <f>IF(OR(E553=0,E553=""),"",COUNTA($E$307:E553))</f>
        <v>222</v>
      </c>
      <c r="C553" s="53" t="s">
        <v>510</v>
      </c>
      <c r="D553" s="58" t="s">
        <v>779</v>
      </c>
      <c r="E553" s="59">
        <v>1991</v>
      </c>
      <c r="F553" s="60">
        <v>1357.4</v>
      </c>
      <c r="G553" s="60">
        <v>344</v>
      </c>
      <c r="H553" s="60">
        <v>0</v>
      </c>
      <c r="I553" s="60" t="s">
        <v>35</v>
      </c>
      <c r="J553" s="60"/>
      <c r="K553" s="60"/>
      <c r="L553" s="60"/>
      <c r="M553" s="60"/>
      <c r="N553" s="60"/>
      <c r="O553" s="60"/>
      <c r="P553" s="60">
        <f t="shared" si="356"/>
        <v>2604850.6</v>
      </c>
      <c r="Q553" s="60"/>
      <c r="R553" s="60"/>
      <c r="S553" s="60"/>
      <c r="T553" s="60"/>
      <c r="U553" s="60"/>
      <c r="V553" s="60"/>
      <c r="W553" s="62">
        <f>V553+U553+T553+S553+R553+Q553+P553+O553+N553+M553+L553+K553+J553</f>
        <v>2604850.6</v>
      </c>
      <c r="X553" s="60" t="s">
        <v>18</v>
      </c>
      <c r="Y553" s="59">
        <v>0</v>
      </c>
      <c r="Z553" s="59">
        <v>0</v>
      </c>
      <c r="AA553" s="59">
        <v>0</v>
      </c>
      <c r="AB553" s="54">
        <f>W553-(Y553+Z553+AA553)</f>
        <v>2604850.6</v>
      </c>
    </row>
    <row r="554" spans="1:28" s="31" customFormat="1" ht="52.5" customHeight="1" x14ac:dyDescent="0.35">
      <c r="A554" s="31">
        <v>2019</v>
      </c>
      <c r="B554" s="53" t="str">
        <f>IF(OR(E554=0,E554=""),"",COUNTA($E$307:E554))</f>
        <v/>
      </c>
      <c r="C554" s="53"/>
      <c r="D554" s="58"/>
      <c r="E554" s="59"/>
      <c r="F554" s="54">
        <f>SUM(F552:F553)</f>
        <v>2371.6999999999998</v>
      </c>
      <c r="G554" s="54">
        <f>SUM(G552:G553)</f>
        <v>963.8</v>
      </c>
      <c r="H554" s="54">
        <f>SUM(H552:H553)</f>
        <v>0</v>
      </c>
      <c r="I554" s="54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54">
        <f>SUM(W552:W553)</f>
        <v>4551292.3</v>
      </c>
      <c r="X554" s="60"/>
      <c r="Y554" s="52">
        <v>0</v>
      </c>
      <c r="Z554" s="52">
        <v>0</v>
      </c>
      <c r="AA554" s="52">
        <v>0</v>
      </c>
      <c r="AB554" s="54">
        <f>SUM(AB552:AB553)</f>
        <v>4551292.3</v>
      </c>
    </row>
    <row r="555" spans="1:28" s="31" customFormat="1" ht="52.5" customHeight="1" x14ac:dyDescent="0.35">
      <c r="A555" s="31">
        <v>2019</v>
      </c>
      <c r="B555" s="53" t="str">
        <f>IF(OR(E555=0,E555=""),"",COUNTA($E$307:E555))</f>
        <v/>
      </c>
      <c r="C555" s="53"/>
      <c r="D555" s="57" t="s">
        <v>1063</v>
      </c>
      <c r="E555" s="58"/>
      <c r="F555" s="54"/>
      <c r="G555" s="60"/>
      <c r="H555" s="54"/>
      <c r="I555" s="54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59"/>
      <c r="Z555" s="59"/>
      <c r="AA555" s="59"/>
      <c r="AB555" s="54"/>
    </row>
    <row r="556" spans="1:28" s="31" customFormat="1" ht="52.5" customHeight="1" x14ac:dyDescent="0.35">
      <c r="B556" s="53">
        <f>IF(OR(E556=0,E556=""),"",COUNTA($E$307:E556))</f>
        <v>223</v>
      </c>
      <c r="C556" s="53" t="s">
        <v>503</v>
      </c>
      <c r="D556" s="58" t="s">
        <v>1022</v>
      </c>
      <c r="E556" s="59">
        <v>1976</v>
      </c>
      <c r="F556" s="60">
        <v>390.7</v>
      </c>
      <c r="G556" s="60">
        <v>370.9</v>
      </c>
      <c r="H556" s="59">
        <v>19.8</v>
      </c>
      <c r="I556" s="60" t="s">
        <v>35</v>
      </c>
      <c r="J556" s="60"/>
      <c r="K556" s="60"/>
      <c r="L556" s="60"/>
      <c r="M556" s="60"/>
      <c r="N556" s="60"/>
      <c r="O556" s="60"/>
      <c r="P556" s="60">
        <f t="shared" ref="P556:P557" si="357">1919*F556</f>
        <v>749753.3</v>
      </c>
      <c r="Q556" s="60"/>
      <c r="R556" s="60"/>
      <c r="S556" s="60"/>
      <c r="T556" s="60"/>
      <c r="U556" s="60"/>
      <c r="V556" s="60"/>
      <c r="W556" s="62">
        <f t="shared" ref="W556:W558" si="358">V556+U556+T556+S556+R556+Q556+P556+O556+N556+M556+L556+K556+J556</f>
        <v>749753.3</v>
      </c>
      <c r="X556" s="60" t="s">
        <v>18</v>
      </c>
      <c r="Y556" s="59">
        <v>0</v>
      </c>
      <c r="Z556" s="59">
        <v>0</v>
      </c>
      <c r="AA556" s="59">
        <v>0</v>
      </c>
      <c r="AB556" s="54">
        <f t="shared" ref="AB556:AB558" si="359">W556-(Y556+Z556+AA556)</f>
        <v>749753.3</v>
      </c>
    </row>
    <row r="557" spans="1:28" s="31" customFormat="1" ht="52.5" customHeight="1" x14ac:dyDescent="0.35">
      <c r="A557" s="31">
        <v>2019</v>
      </c>
      <c r="B557" s="53">
        <f>IF(OR(E557=0,E557=""),"",COUNTA($E$307:E557))</f>
        <v>224</v>
      </c>
      <c r="C557" s="53" t="s">
        <v>506</v>
      </c>
      <c r="D557" s="58" t="s">
        <v>1023</v>
      </c>
      <c r="E557" s="59">
        <v>1944</v>
      </c>
      <c r="F557" s="60">
        <v>803.88</v>
      </c>
      <c r="G557" s="60">
        <v>621.6</v>
      </c>
      <c r="H557" s="59">
        <v>182.28</v>
      </c>
      <c r="I557" s="60" t="s">
        <v>35</v>
      </c>
      <c r="J557" s="60"/>
      <c r="K557" s="60"/>
      <c r="L557" s="60"/>
      <c r="M557" s="60"/>
      <c r="N557" s="60"/>
      <c r="O557" s="60"/>
      <c r="P557" s="60">
        <f t="shared" si="357"/>
        <v>1542645.72</v>
      </c>
      <c r="Q557" s="60"/>
      <c r="R557" s="60">
        <f>1853*F557</f>
        <v>1489589.64</v>
      </c>
      <c r="S557" s="60"/>
      <c r="T557" s="60"/>
      <c r="U557" s="60">
        <f t="shared" ref="U557:U558" si="360">119*F557</f>
        <v>95661.72</v>
      </c>
      <c r="V557" s="60"/>
      <c r="W557" s="62">
        <f t="shared" si="358"/>
        <v>3127897.08</v>
      </c>
      <c r="X557" s="60" t="s">
        <v>18</v>
      </c>
      <c r="Y557" s="59">
        <v>0</v>
      </c>
      <c r="Z557" s="59">
        <v>0</v>
      </c>
      <c r="AA557" s="59">
        <v>0</v>
      </c>
      <c r="AB557" s="54">
        <f t="shared" si="359"/>
        <v>3127897.08</v>
      </c>
    </row>
    <row r="558" spans="1:28" s="31" customFormat="1" ht="52.5" customHeight="1" x14ac:dyDescent="0.35">
      <c r="A558" s="31">
        <v>2019</v>
      </c>
      <c r="B558" s="53">
        <f>IF(OR(E558=0,E558=""),"",COUNTA($E$307:E558))</f>
        <v>225</v>
      </c>
      <c r="C558" s="53" t="s">
        <v>504</v>
      </c>
      <c r="D558" s="58" t="s">
        <v>1024</v>
      </c>
      <c r="E558" s="59">
        <v>1959</v>
      </c>
      <c r="F558" s="60">
        <v>620.29999999999995</v>
      </c>
      <c r="G558" s="60">
        <v>411.6</v>
      </c>
      <c r="H558" s="59">
        <v>191.1</v>
      </c>
      <c r="I558" s="60" t="s">
        <v>35</v>
      </c>
      <c r="J558" s="60"/>
      <c r="K558" s="60"/>
      <c r="L558" s="60"/>
      <c r="M558" s="60"/>
      <c r="N558" s="60"/>
      <c r="O558" s="60"/>
      <c r="P558" s="60">
        <f t="shared" ref="P558" si="361">1919*F558</f>
        <v>1190355.7</v>
      </c>
      <c r="Q558" s="60"/>
      <c r="R558" s="60">
        <f>1853*F558</f>
        <v>1149415.8999999999</v>
      </c>
      <c r="S558" s="60"/>
      <c r="T558" s="60"/>
      <c r="U558" s="60">
        <f t="shared" si="360"/>
        <v>73815.7</v>
      </c>
      <c r="V558" s="60"/>
      <c r="W558" s="62">
        <f t="shared" si="358"/>
        <v>2413587.2999999998</v>
      </c>
      <c r="X558" s="60" t="s">
        <v>18</v>
      </c>
      <c r="Y558" s="59">
        <v>0</v>
      </c>
      <c r="Z558" s="59">
        <v>0</v>
      </c>
      <c r="AA558" s="59">
        <v>0</v>
      </c>
      <c r="AB558" s="54">
        <f t="shared" si="359"/>
        <v>2413587.2999999998</v>
      </c>
    </row>
    <row r="559" spans="1:28" s="31" customFormat="1" ht="52.5" customHeight="1" x14ac:dyDescent="0.35">
      <c r="A559" s="31">
        <v>2019</v>
      </c>
      <c r="B559" s="53" t="str">
        <f>IF(OR(E559=0,E559=""),"",COUNTA($E$307:E559))</f>
        <v/>
      </c>
      <c r="C559" s="53"/>
      <c r="D559" s="58"/>
      <c r="E559" s="59"/>
      <c r="F559" s="54">
        <f>SUM(F556:F558)</f>
        <v>1814.88</v>
      </c>
      <c r="G559" s="54">
        <f>SUM(G556:G558)</f>
        <v>1404.1</v>
      </c>
      <c r="H559" s="54">
        <f>SUM(H556:H558)</f>
        <v>393.18</v>
      </c>
      <c r="I559" s="54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56">
        <f>SUM(W556:W558)</f>
        <v>6291237.6799999997</v>
      </c>
      <c r="X559" s="60"/>
      <c r="Y559" s="52">
        <v>0</v>
      </c>
      <c r="Z559" s="52">
        <v>0</v>
      </c>
      <c r="AA559" s="52">
        <v>0</v>
      </c>
      <c r="AB559" s="54">
        <f>SUM(AB556:AB558)</f>
        <v>6291237.6799999997</v>
      </c>
    </row>
    <row r="560" spans="1:28" s="31" customFormat="1" ht="52.5" customHeight="1" x14ac:dyDescent="0.35">
      <c r="A560" s="31">
        <v>2019</v>
      </c>
      <c r="B560" s="53" t="str">
        <f>IF(OR(E560=0,E560=""),"",COUNTA($E$307:E560))</f>
        <v/>
      </c>
      <c r="C560" s="53"/>
      <c r="D560" s="57" t="s">
        <v>95</v>
      </c>
      <c r="E560" s="58"/>
      <c r="F560" s="54"/>
      <c r="G560" s="60"/>
      <c r="H560" s="54"/>
      <c r="I560" s="54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59"/>
      <c r="Z560" s="59"/>
      <c r="AA560" s="59"/>
      <c r="AB560" s="54"/>
    </row>
    <row r="561" spans="1:49" s="31" customFormat="1" ht="52.5" customHeight="1" x14ac:dyDescent="0.35">
      <c r="A561" s="31">
        <v>2019</v>
      </c>
      <c r="B561" s="53">
        <f>IF(OR(E561=0,E561=""),"",COUNTA($E$307:E561))</f>
        <v>226</v>
      </c>
      <c r="C561" s="53" t="s">
        <v>513</v>
      </c>
      <c r="D561" s="58" t="s">
        <v>1025</v>
      </c>
      <c r="E561" s="59">
        <v>1962</v>
      </c>
      <c r="F561" s="60">
        <v>1751.85</v>
      </c>
      <c r="G561" s="60">
        <v>1089.45</v>
      </c>
      <c r="H561" s="60">
        <v>662.4</v>
      </c>
      <c r="I561" s="60" t="s">
        <v>34</v>
      </c>
      <c r="J561" s="60"/>
      <c r="K561" s="60"/>
      <c r="L561" s="60"/>
      <c r="M561" s="60"/>
      <c r="N561" s="60"/>
      <c r="O561" s="60"/>
      <c r="P561" s="60">
        <f t="shared" ref="P561:P562" si="362">1919*F561</f>
        <v>3361800.15</v>
      </c>
      <c r="Q561" s="60"/>
      <c r="R561" s="60">
        <f>1853*F561</f>
        <v>3246178.05</v>
      </c>
      <c r="S561" s="60"/>
      <c r="T561" s="60"/>
      <c r="U561" s="60">
        <f>119*F561</f>
        <v>208470.15</v>
      </c>
      <c r="V561" s="60"/>
      <c r="W561" s="62">
        <f>V561+U561+T561+S561+R561+Q561+P561+O561+N561+M561+L561+K561+J561</f>
        <v>6816448.3499999996</v>
      </c>
      <c r="X561" s="60" t="s">
        <v>18</v>
      </c>
      <c r="Y561" s="59">
        <v>0</v>
      </c>
      <c r="Z561" s="59">
        <v>0</v>
      </c>
      <c r="AA561" s="59">
        <v>0</v>
      </c>
      <c r="AB561" s="54">
        <f t="shared" ref="AB561:AB564" si="363">W561-(Y561+Z561+AA561)</f>
        <v>6816448.3499999996</v>
      </c>
    </row>
    <row r="562" spans="1:49" s="31" customFormat="1" ht="52.5" customHeight="1" x14ac:dyDescent="0.35">
      <c r="A562" s="31">
        <v>2019</v>
      </c>
      <c r="B562" s="53">
        <f>IF(OR(E562=0,E562=""),"",COUNTA($E$307:E562))</f>
        <v>227</v>
      </c>
      <c r="C562" s="53" t="s">
        <v>514</v>
      </c>
      <c r="D562" s="58" t="s">
        <v>1026</v>
      </c>
      <c r="E562" s="59">
        <v>1962</v>
      </c>
      <c r="F562" s="60">
        <v>1837.4</v>
      </c>
      <c r="G562" s="60">
        <v>1174.0999999999999</v>
      </c>
      <c r="H562" s="60">
        <v>663.3</v>
      </c>
      <c r="I562" s="60" t="s">
        <v>34</v>
      </c>
      <c r="J562" s="60"/>
      <c r="K562" s="60"/>
      <c r="L562" s="60"/>
      <c r="M562" s="60"/>
      <c r="N562" s="60"/>
      <c r="O562" s="60"/>
      <c r="P562" s="60">
        <f t="shared" si="362"/>
        <v>3525970.6</v>
      </c>
      <c r="Q562" s="60"/>
      <c r="R562" s="60">
        <f>1853*F562</f>
        <v>3404702.2</v>
      </c>
      <c r="S562" s="60"/>
      <c r="T562" s="60"/>
      <c r="U562" s="60"/>
      <c r="V562" s="60"/>
      <c r="W562" s="62">
        <f>V562+U562+T562+S562+R562+Q562+P562+O562+N562+M562+L562+K562+J562</f>
        <v>6930672.7999999998</v>
      </c>
      <c r="X562" s="60" t="s">
        <v>18</v>
      </c>
      <c r="Y562" s="59">
        <v>0</v>
      </c>
      <c r="Z562" s="59">
        <v>0</v>
      </c>
      <c r="AA562" s="59">
        <v>0</v>
      </c>
      <c r="AB562" s="54">
        <f t="shared" si="363"/>
        <v>6930672.7999999998</v>
      </c>
    </row>
    <row r="563" spans="1:49" s="31" customFormat="1" ht="52.5" customHeight="1" x14ac:dyDescent="0.35">
      <c r="A563" s="31">
        <v>2019</v>
      </c>
      <c r="B563" s="53">
        <f>IF(OR(E563=0,E563=""),"",COUNTA($E$307:E563))</f>
        <v>228</v>
      </c>
      <c r="C563" s="53" t="s">
        <v>516</v>
      </c>
      <c r="D563" s="58" t="s">
        <v>1027</v>
      </c>
      <c r="E563" s="59">
        <v>1963</v>
      </c>
      <c r="F563" s="60">
        <v>1500</v>
      </c>
      <c r="G563" s="60">
        <v>974.4</v>
      </c>
      <c r="H563" s="60">
        <v>525.6</v>
      </c>
      <c r="I563" s="60" t="s">
        <v>34</v>
      </c>
      <c r="J563" s="60"/>
      <c r="K563" s="60"/>
      <c r="L563" s="60"/>
      <c r="M563" s="60"/>
      <c r="N563" s="60"/>
      <c r="O563" s="60"/>
      <c r="P563" s="60"/>
      <c r="Q563" s="60"/>
      <c r="R563" s="60">
        <f>1853*F563</f>
        <v>2779500</v>
      </c>
      <c r="S563" s="60"/>
      <c r="T563" s="60"/>
      <c r="U563" s="60"/>
      <c r="V563" s="60"/>
      <c r="W563" s="62">
        <f>V563+U563+T563+S563+R563+Q563+P563+O563+N563+M563+L563+K563+J563</f>
        <v>2779500</v>
      </c>
      <c r="X563" s="60" t="s">
        <v>18</v>
      </c>
      <c r="Y563" s="59">
        <v>0</v>
      </c>
      <c r="Z563" s="59">
        <v>0</v>
      </c>
      <c r="AA563" s="59">
        <v>0</v>
      </c>
      <c r="AB563" s="54">
        <f t="shared" si="363"/>
        <v>2779500</v>
      </c>
    </row>
    <row r="564" spans="1:49" s="31" customFormat="1" ht="52.5" customHeight="1" x14ac:dyDescent="0.35">
      <c r="A564" s="31">
        <v>2019</v>
      </c>
      <c r="B564" s="53" t="str">
        <f>IF(OR(E564=0,E564=""),"",COUNTA($E$307:E564))</f>
        <v/>
      </c>
      <c r="C564" s="53"/>
      <c r="D564" s="58"/>
      <c r="E564" s="59"/>
      <c r="F564" s="54">
        <f>SUM(F561:F563)</f>
        <v>5089.25</v>
      </c>
      <c r="G564" s="54">
        <f>SUM(G561:G563)</f>
        <v>3237.95</v>
      </c>
      <c r="H564" s="54">
        <f>SUM(H561:H563)</f>
        <v>1851.3</v>
      </c>
      <c r="I564" s="54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54">
        <f>SUM(W561:W563)</f>
        <v>16526621.15</v>
      </c>
      <c r="X564" s="60"/>
      <c r="Y564" s="52">
        <v>0</v>
      </c>
      <c r="Z564" s="52">
        <v>0</v>
      </c>
      <c r="AA564" s="52">
        <v>0</v>
      </c>
      <c r="AB564" s="54">
        <f t="shared" si="363"/>
        <v>16526621.15</v>
      </c>
    </row>
    <row r="565" spans="1:49" s="31" customFormat="1" ht="52.5" customHeight="1" x14ac:dyDescent="0.35">
      <c r="A565" s="31">
        <v>2019</v>
      </c>
      <c r="B565" s="53" t="str">
        <f>IF(OR(E565=0,E565=""),"",COUNTA($E$307:E565))</f>
        <v/>
      </c>
      <c r="C565" s="53"/>
      <c r="D565" s="57" t="s">
        <v>22</v>
      </c>
      <c r="E565" s="58"/>
      <c r="F565" s="54"/>
      <c r="G565" s="60"/>
      <c r="H565" s="54"/>
      <c r="I565" s="54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59"/>
      <c r="Z565" s="59"/>
      <c r="AA565" s="59"/>
      <c r="AB565" s="54"/>
    </row>
    <row r="566" spans="1:49" s="31" customFormat="1" ht="52.5" customHeight="1" x14ac:dyDescent="0.5">
      <c r="A566" s="43"/>
      <c r="B566" s="53">
        <f>IF(OR(E566=0,E566=""),"",COUNTA($E$307:E566))</f>
        <v>229</v>
      </c>
      <c r="C566" s="53" t="s">
        <v>517</v>
      </c>
      <c r="D566" s="58" t="s">
        <v>62</v>
      </c>
      <c r="E566" s="58">
        <v>1979</v>
      </c>
      <c r="F566" s="60">
        <v>2034.6</v>
      </c>
      <c r="G566" s="60">
        <v>1461.7</v>
      </c>
      <c r="H566" s="60">
        <v>573.20000000000005</v>
      </c>
      <c r="I566" s="60" t="s">
        <v>36</v>
      </c>
      <c r="J566" s="74"/>
      <c r="K566" s="74"/>
      <c r="L566" s="65"/>
      <c r="M566" s="75"/>
      <c r="N566" s="75"/>
      <c r="O566" s="75"/>
      <c r="P566" s="60">
        <f>1972*F566</f>
        <v>4012231.2</v>
      </c>
      <c r="Q566" s="75"/>
      <c r="R566" s="75"/>
      <c r="S566" s="75"/>
      <c r="T566" s="76"/>
      <c r="U566" s="75"/>
      <c r="V566" s="75"/>
      <c r="W566" s="62">
        <f>V566+U566+T566+S566+R566+Q566+P566+O566+N566+M566+L566+K566+J566</f>
        <v>4012231.2</v>
      </c>
      <c r="X566" s="60" t="s">
        <v>18</v>
      </c>
      <c r="Y566" s="59">
        <v>0</v>
      </c>
      <c r="Z566" s="59">
        <v>0</v>
      </c>
      <c r="AA566" s="72">
        <v>0</v>
      </c>
      <c r="AB566" s="73">
        <f>W566-(Y566+Z566+AA566)</f>
        <v>4012231.2</v>
      </c>
      <c r="AC566" s="45"/>
      <c r="AD566" s="43"/>
      <c r="AE566" s="43"/>
      <c r="AF566" s="44"/>
      <c r="AG566" s="45"/>
      <c r="AH566" s="43"/>
      <c r="AI566" s="43"/>
      <c r="AJ566" s="44"/>
      <c r="AK566" s="45"/>
      <c r="AL566" s="43"/>
      <c r="AM566" s="43"/>
      <c r="AN566" s="44"/>
      <c r="AO566" s="45"/>
      <c r="AP566" s="43"/>
      <c r="AQ566" s="43"/>
      <c r="AR566" s="44"/>
      <c r="AS566" s="45"/>
      <c r="AT566" s="43"/>
      <c r="AU566" s="43"/>
      <c r="AV566" s="44"/>
      <c r="AW566" s="45"/>
    </row>
    <row r="567" spans="1:49" s="31" customFormat="1" ht="52.5" customHeight="1" x14ac:dyDescent="0.35">
      <c r="A567" s="31">
        <v>2019</v>
      </c>
      <c r="B567" s="53" t="str">
        <f>IF(OR(E567=0,E567=""),"",COUNTA($E$307:E567))</f>
        <v/>
      </c>
      <c r="C567" s="53"/>
      <c r="D567" s="58"/>
      <c r="E567" s="59"/>
      <c r="F567" s="54">
        <f>SUM(F566:F566)</f>
        <v>2034.6</v>
      </c>
      <c r="G567" s="54">
        <f>SUM(G566:G566)</f>
        <v>1461.7</v>
      </c>
      <c r="H567" s="54">
        <f>SUM(H566:H566)</f>
        <v>573.20000000000005</v>
      </c>
      <c r="I567" s="54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54">
        <f>SUM(W566:W566)</f>
        <v>4012231.2</v>
      </c>
      <c r="X567" s="60"/>
      <c r="Y567" s="52">
        <v>0</v>
      </c>
      <c r="Z567" s="52">
        <v>0</v>
      </c>
      <c r="AA567" s="52">
        <v>0</v>
      </c>
      <c r="AB567" s="54">
        <f>W567-(Y567+Z567+AA567)</f>
        <v>4012231.2</v>
      </c>
    </row>
    <row r="568" spans="1:49" s="31" customFormat="1" ht="52.5" customHeight="1" x14ac:dyDescent="0.35">
      <c r="A568" s="31">
        <v>2019</v>
      </c>
      <c r="B568" s="53" t="str">
        <f>IF(OR(E568=0,E568=""),"",COUNTA($E$307:E568))</f>
        <v/>
      </c>
      <c r="C568" s="53"/>
      <c r="D568" s="57" t="s">
        <v>84</v>
      </c>
      <c r="E568" s="58"/>
      <c r="F568" s="54"/>
      <c r="G568" s="60"/>
      <c r="H568" s="54"/>
      <c r="I568" s="54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59"/>
      <c r="Z568" s="59"/>
      <c r="AA568" s="59"/>
      <c r="AB568" s="54"/>
    </row>
    <row r="569" spans="1:49" s="31" customFormat="1" ht="52.5" customHeight="1" x14ac:dyDescent="0.35">
      <c r="A569" s="31">
        <v>2019</v>
      </c>
      <c r="B569" s="53">
        <f>IF(OR(E569=0,E569=""),"",COUNTA($E$307:E569))</f>
        <v>230</v>
      </c>
      <c r="C569" s="53" t="s">
        <v>520</v>
      </c>
      <c r="D569" s="58" t="s">
        <v>1028</v>
      </c>
      <c r="E569" s="59">
        <v>1957</v>
      </c>
      <c r="F569" s="60">
        <v>1023.8</v>
      </c>
      <c r="G569" s="60">
        <v>887</v>
      </c>
      <c r="H569" s="60">
        <v>98.9</v>
      </c>
      <c r="I569" s="60" t="s">
        <v>35</v>
      </c>
      <c r="J569" s="60"/>
      <c r="K569" s="60"/>
      <c r="L569" s="60"/>
      <c r="M569" s="60"/>
      <c r="N569" s="60"/>
      <c r="O569" s="60"/>
      <c r="P569" s="60">
        <f t="shared" ref="P569:P570" si="364">1919*F569</f>
        <v>1964672.2</v>
      </c>
      <c r="Q569" s="60"/>
      <c r="R569" s="60">
        <f>1853*F569</f>
        <v>1897101.4</v>
      </c>
      <c r="S569" s="60"/>
      <c r="T569" s="60"/>
      <c r="U569" s="60"/>
      <c r="V569" s="60"/>
      <c r="W569" s="62">
        <f>V569+U569+T569+S569+R569+Q569+P569+O569+N569+M569+L569+K569+J569</f>
        <v>3861773.6</v>
      </c>
      <c r="X569" s="60" t="s">
        <v>18</v>
      </c>
      <c r="Y569" s="59">
        <v>0</v>
      </c>
      <c r="Z569" s="59">
        <v>0</v>
      </c>
      <c r="AA569" s="59">
        <v>0</v>
      </c>
      <c r="AB569" s="54">
        <f>W569-(Y569+Z569+AA569)</f>
        <v>3861773.6</v>
      </c>
    </row>
    <row r="570" spans="1:49" s="31" customFormat="1" ht="52.5" customHeight="1" x14ac:dyDescent="0.35">
      <c r="B570" s="53">
        <f>IF(OR(E570=0,E570=""),"",COUNTA($E$307:E570))</f>
        <v>231</v>
      </c>
      <c r="C570" s="53" t="s">
        <v>519</v>
      </c>
      <c r="D570" s="58" t="s">
        <v>1029</v>
      </c>
      <c r="E570" s="59">
        <v>1986</v>
      </c>
      <c r="F570" s="60">
        <v>1208.9000000000001</v>
      </c>
      <c r="G570" s="60">
        <v>712.9</v>
      </c>
      <c r="H570" s="60">
        <v>0</v>
      </c>
      <c r="I570" s="60" t="s">
        <v>34</v>
      </c>
      <c r="J570" s="60"/>
      <c r="K570" s="60"/>
      <c r="L570" s="60"/>
      <c r="M570" s="60"/>
      <c r="N570" s="60"/>
      <c r="O570" s="60"/>
      <c r="P570" s="60">
        <f t="shared" si="364"/>
        <v>2319879.1</v>
      </c>
      <c r="Q570" s="60"/>
      <c r="R570" s="60"/>
      <c r="S570" s="60"/>
      <c r="T570" s="60"/>
      <c r="U570" s="60"/>
      <c r="V570" s="60"/>
      <c r="W570" s="62">
        <f>V570+U570+T570+S570+R570+Q570+P570+O570+N570+M570+L570+K570+J570</f>
        <v>2319879.1</v>
      </c>
      <c r="X570" s="60" t="s">
        <v>18</v>
      </c>
      <c r="Y570" s="59">
        <v>0</v>
      </c>
      <c r="Z570" s="59">
        <v>0</v>
      </c>
      <c r="AA570" s="59">
        <v>0</v>
      </c>
      <c r="AB570" s="54">
        <f>W570-(Y570+Z570+AA570)</f>
        <v>2319879.1</v>
      </c>
    </row>
    <row r="571" spans="1:49" s="31" customFormat="1" ht="52.5" customHeight="1" x14ac:dyDescent="0.35">
      <c r="A571" s="31">
        <v>2019</v>
      </c>
      <c r="B571" s="53" t="str">
        <f>IF(OR(E571=0,E571=""),"",COUNTA($E$307:E571))</f>
        <v/>
      </c>
      <c r="C571" s="53"/>
      <c r="D571" s="58"/>
      <c r="E571" s="59"/>
      <c r="F571" s="54">
        <f>SUM(F569:F570)</f>
        <v>2232.6999999999998</v>
      </c>
      <c r="G571" s="54">
        <f>SUM(G569:G570)</f>
        <v>1599.9</v>
      </c>
      <c r="H571" s="54">
        <f>SUM(H569:H570)</f>
        <v>98.9</v>
      </c>
      <c r="I571" s="54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54">
        <f>SUM(W569:W570)</f>
        <v>6181652.7000000002</v>
      </c>
      <c r="X571" s="60"/>
      <c r="Y571" s="52">
        <v>0</v>
      </c>
      <c r="Z571" s="52">
        <v>0</v>
      </c>
      <c r="AA571" s="52">
        <v>0</v>
      </c>
      <c r="AB571" s="54">
        <f>SUM(AB569:AB570)</f>
        <v>6181652.7000000002</v>
      </c>
    </row>
    <row r="572" spans="1:49" s="31" customFormat="1" ht="52.5" customHeight="1" x14ac:dyDescent="0.35">
      <c r="A572" s="31">
        <v>2019</v>
      </c>
      <c r="B572" s="53" t="str">
        <f>IF(OR(E572=0,E572=""),"",COUNTA($E$307:E572))</f>
        <v/>
      </c>
      <c r="C572" s="53"/>
      <c r="D572" s="57" t="s">
        <v>89</v>
      </c>
      <c r="E572" s="57"/>
      <c r="F572" s="54"/>
      <c r="G572" s="54"/>
      <c r="H572" s="54"/>
      <c r="I572" s="54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59"/>
      <c r="Z572" s="59"/>
      <c r="AA572" s="59"/>
      <c r="AB572" s="54"/>
    </row>
    <row r="573" spans="1:49" s="31" customFormat="1" ht="52.5" customHeight="1" x14ac:dyDescent="0.35">
      <c r="A573" s="31">
        <v>2019</v>
      </c>
      <c r="B573" s="53">
        <f>IF(OR(E573=0,E573=""),"",COUNTA($E$307:E573))</f>
        <v>232</v>
      </c>
      <c r="C573" s="53" t="s">
        <v>525</v>
      </c>
      <c r="D573" s="58" t="s">
        <v>1030</v>
      </c>
      <c r="E573" s="59">
        <v>1954</v>
      </c>
      <c r="F573" s="60">
        <v>1217.4000000000001</v>
      </c>
      <c r="G573" s="60">
        <v>576.5</v>
      </c>
      <c r="H573" s="59">
        <v>158.19999999999999</v>
      </c>
      <c r="I573" s="60" t="s">
        <v>35</v>
      </c>
      <c r="J573" s="60"/>
      <c r="K573" s="60"/>
      <c r="L573" s="60"/>
      <c r="M573" s="60"/>
      <c r="N573" s="60"/>
      <c r="O573" s="60"/>
      <c r="P573" s="60">
        <f t="shared" ref="P573:P574" si="365">1919*F573</f>
        <v>2336190.6</v>
      </c>
      <c r="Q573" s="60"/>
      <c r="R573" s="60">
        <f>1853*F573</f>
        <v>2255842.2000000002</v>
      </c>
      <c r="S573" s="60"/>
      <c r="T573" s="60"/>
      <c r="U573" s="60">
        <f>119*F573</f>
        <v>144870.6</v>
      </c>
      <c r="V573" s="60"/>
      <c r="W573" s="62">
        <f>V573+U573+T573+S573+R573+Q573+P573+O573+N573+M573+L573+K573+J573</f>
        <v>4736903.4000000004</v>
      </c>
      <c r="X573" s="60" t="s">
        <v>18</v>
      </c>
      <c r="Y573" s="59">
        <v>0</v>
      </c>
      <c r="Z573" s="59">
        <v>0</v>
      </c>
      <c r="AA573" s="59">
        <v>0</v>
      </c>
      <c r="AB573" s="54">
        <f>W573-(Y573+Z573+AA573)</f>
        <v>4736903.4000000004</v>
      </c>
    </row>
    <row r="574" spans="1:49" s="31" customFormat="1" ht="52.5" customHeight="1" x14ac:dyDescent="0.35">
      <c r="A574" s="31">
        <v>2019</v>
      </c>
      <c r="B574" s="53">
        <f>IF(OR(E574=0,E574=""),"",COUNTA($E$307:E574))</f>
        <v>233</v>
      </c>
      <c r="C574" s="53" t="s">
        <v>526</v>
      </c>
      <c r="D574" s="58" t="s">
        <v>1031</v>
      </c>
      <c r="E574" s="59">
        <v>1956</v>
      </c>
      <c r="F574" s="60">
        <v>1750.8</v>
      </c>
      <c r="G574" s="60">
        <v>733.7</v>
      </c>
      <c r="H574" s="60">
        <v>62.2</v>
      </c>
      <c r="I574" s="60" t="s">
        <v>35</v>
      </c>
      <c r="J574" s="60"/>
      <c r="K574" s="60"/>
      <c r="L574" s="60"/>
      <c r="M574" s="60"/>
      <c r="N574" s="60"/>
      <c r="O574" s="60"/>
      <c r="P574" s="60">
        <f t="shared" si="365"/>
        <v>3359785.2</v>
      </c>
      <c r="Q574" s="60"/>
      <c r="R574" s="60">
        <f>1853*F574</f>
        <v>3244232.4</v>
      </c>
      <c r="S574" s="60"/>
      <c r="T574" s="60"/>
      <c r="U574" s="60">
        <f>119*F574</f>
        <v>208345.2</v>
      </c>
      <c r="V574" s="60"/>
      <c r="W574" s="62">
        <f>V574+U574+T574+S574+R574+Q574+P574+O574+N574+M574+L574+K574+J574</f>
        <v>6812362.7999999998</v>
      </c>
      <c r="X574" s="60" t="s">
        <v>18</v>
      </c>
      <c r="Y574" s="59">
        <v>0</v>
      </c>
      <c r="Z574" s="59">
        <v>0</v>
      </c>
      <c r="AA574" s="59">
        <v>0</v>
      </c>
      <c r="AB574" s="54">
        <f>W574-(Y574+Z574+AA574)</f>
        <v>6812362.7999999998</v>
      </c>
    </row>
    <row r="575" spans="1:49" s="31" customFormat="1" ht="52.5" customHeight="1" x14ac:dyDescent="0.35">
      <c r="A575" s="31">
        <v>2019</v>
      </c>
      <c r="B575" s="53" t="str">
        <f>IF(OR(E575=0,E575=""),"",COUNTA($E$307:E575))</f>
        <v/>
      </c>
      <c r="C575" s="53"/>
      <c r="D575" s="58"/>
      <c r="E575" s="59"/>
      <c r="F575" s="54">
        <f>SUM(F573:F574)</f>
        <v>2968.2</v>
      </c>
      <c r="G575" s="54">
        <f>SUM(G573:G574)</f>
        <v>1310.2</v>
      </c>
      <c r="H575" s="54">
        <f>SUM(H573:H574)</f>
        <v>220.4</v>
      </c>
      <c r="I575" s="54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56">
        <f>SUM(W573:W574)</f>
        <v>11549266.199999999</v>
      </c>
      <c r="X575" s="60"/>
      <c r="Y575" s="52">
        <v>0</v>
      </c>
      <c r="Z575" s="52">
        <v>0</v>
      </c>
      <c r="AA575" s="52">
        <v>0</v>
      </c>
      <c r="AB575" s="54">
        <f>SUM(AB573:AB574)</f>
        <v>11549266.199999999</v>
      </c>
    </row>
    <row r="576" spans="1:49" s="31" customFormat="1" ht="52.5" customHeight="1" x14ac:dyDescent="0.35">
      <c r="A576" s="31">
        <v>2019</v>
      </c>
      <c r="B576" s="53" t="str">
        <f>IF(OR(E576=0,E576=""),"",COUNTA($E$307:E576))</f>
        <v/>
      </c>
      <c r="C576" s="53"/>
      <c r="D576" s="57" t="s">
        <v>1061</v>
      </c>
      <c r="E576" s="57"/>
      <c r="F576" s="54"/>
      <c r="G576" s="54"/>
      <c r="H576" s="54"/>
      <c r="I576" s="54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59"/>
      <c r="Z576" s="59"/>
      <c r="AA576" s="59"/>
      <c r="AB576" s="54"/>
    </row>
    <row r="577" spans="1:28" s="31" customFormat="1" ht="52.5" customHeight="1" x14ac:dyDescent="0.35">
      <c r="A577" s="31">
        <v>2019</v>
      </c>
      <c r="B577" s="53">
        <f>IF(OR(E577=0,E577=""),"",COUNTA($E$307:E577))</f>
        <v>234</v>
      </c>
      <c r="C577" s="53" t="s">
        <v>537</v>
      </c>
      <c r="D577" s="58" t="s">
        <v>1032</v>
      </c>
      <c r="E577" s="59">
        <v>1955</v>
      </c>
      <c r="F577" s="59">
        <v>1224.9000000000001</v>
      </c>
      <c r="G577" s="60">
        <v>864.4</v>
      </c>
      <c r="H577" s="60">
        <v>0</v>
      </c>
      <c r="I577" s="60" t="s">
        <v>35</v>
      </c>
      <c r="J577" s="60"/>
      <c r="K577" s="60"/>
      <c r="L577" s="60"/>
      <c r="M577" s="60"/>
      <c r="N577" s="60"/>
      <c r="O577" s="60"/>
      <c r="P577" s="60">
        <f>1919*F577</f>
        <v>2350583.1</v>
      </c>
      <c r="Q577" s="60"/>
      <c r="R577" s="60">
        <f>1853*F577</f>
        <v>2269739.7000000002</v>
      </c>
      <c r="S577" s="60"/>
      <c r="T577" s="60"/>
      <c r="U577" s="60">
        <f>119*F577</f>
        <v>145763.1</v>
      </c>
      <c r="V577" s="60"/>
      <c r="W577" s="62">
        <f t="shared" ref="W577:W580" si="366">V577+U577+T577+S577+R577+Q577+P577+O577+N577+M577+L577+K577+J577</f>
        <v>4766085.9000000004</v>
      </c>
      <c r="X577" s="60" t="s">
        <v>18</v>
      </c>
      <c r="Y577" s="59">
        <v>0</v>
      </c>
      <c r="Z577" s="59">
        <v>0</v>
      </c>
      <c r="AA577" s="59">
        <v>0</v>
      </c>
      <c r="AB577" s="54">
        <f t="shared" ref="AB577:AB580" si="367">W577-(Y577+Z577+AA577)</f>
        <v>4766085.9000000004</v>
      </c>
    </row>
    <row r="578" spans="1:28" s="31" customFormat="1" ht="52.5" customHeight="1" x14ac:dyDescent="0.35">
      <c r="A578" s="31">
        <v>2019</v>
      </c>
      <c r="B578" s="53">
        <f>IF(OR(E578=0,E578=""),"",COUNTA($E$307:E578))</f>
        <v>235</v>
      </c>
      <c r="C578" s="53" t="s">
        <v>536</v>
      </c>
      <c r="D578" s="58" t="s">
        <v>1033</v>
      </c>
      <c r="E578" s="59">
        <v>1955</v>
      </c>
      <c r="F578" s="59">
        <v>1223.3</v>
      </c>
      <c r="G578" s="60">
        <v>858</v>
      </c>
      <c r="H578" s="60">
        <v>0</v>
      </c>
      <c r="I578" s="60" t="s">
        <v>35</v>
      </c>
      <c r="J578" s="60"/>
      <c r="K578" s="60"/>
      <c r="L578" s="60"/>
      <c r="M578" s="60"/>
      <c r="N578" s="60"/>
      <c r="O578" s="60"/>
      <c r="P578" s="60">
        <f t="shared" ref="P578" si="368">1919*F578</f>
        <v>2347512.7000000002</v>
      </c>
      <c r="Q578" s="60"/>
      <c r="R578" s="60">
        <f>1853*F578</f>
        <v>2266774.9</v>
      </c>
      <c r="S578" s="60"/>
      <c r="T578" s="60"/>
      <c r="U578" s="60">
        <f>119*F578</f>
        <v>145572.70000000001</v>
      </c>
      <c r="V578" s="60"/>
      <c r="W578" s="62">
        <f t="shared" si="366"/>
        <v>4759860.3</v>
      </c>
      <c r="X578" s="60" t="s">
        <v>18</v>
      </c>
      <c r="Y578" s="59">
        <v>0</v>
      </c>
      <c r="Z578" s="59">
        <v>0</v>
      </c>
      <c r="AA578" s="59">
        <v>0</v>
      </c>
      <c r="AB578" s="54">
        <f t="shared" si="367"/>
        <v>4759860.3</v>
      </c>
    </row>
    <row r="579" spans="1:28" s="31" customFormat="1" ht="52.5" customHeight="1" x14ac:dyDescent="0.35">
      <c r="B579" s="53">
        <f>IF(OR(E579=0,E579=""),"",COUNTA($E$307:E579))</f>
        <v>236</v>
      </c>
      <c r="C579" s="53" t="s">
        <v>528</v>
      </c>
      <c r="D579" s="58" t="s">
        <v>1034</v>
      </c>
      <c r="E579" s="59">
        <v>1979</v>
      </c>
      <c r="F579" s="60">
        <v>1890</v>
      </c>
      <c r="G579" s="60">
        <v>556.6</v>
      </c>
      <c r="H579" s="60">
        <v>0</v>
      </c>
      <c r="I579" s="60" t="s">
        <v>34</v>
      </c>
      <c r="J579" s="60"/>
      <c r="K579" s="60"/>
      <c r="L579" s="60"/>
      <c r="M579" s="60"/>
      <c r="N579" s="60"/>
      <c r="O579" s="60"/>
      <c r="P579" s="60">
        <f t="shared" ref="P579:P580" si="369">1919*F579</f>
        <v>3626910</v>
      </c>
      <c r="Q579" s="60"/>
      <c r="R579" s="60"/>
      <c r="S579" s="60"/>
      <c r="T579" s="60"/>
      <c r="U579" s="60"/>
      <c r="V579" s="60"/>
      <c r="W579" s="62">
        <f t="shared" si="366"/>
        <v>3626910</v>
      </c>
      <c r="X579" s="60" t="s">
        <v>18</v>
      </c>
      <c r="Y579" s="59">
        <v>0</v>
      </c>
      <c r="Z579" s="59">
        <v>0</v>
      </c>
      <c r="AA579" s="59">
        <v>0</v>
      </c>
      <c r="AB579" s="54">
        <f t="shared" si="367"/>
        <v>3626910</v>
      </c>
    </row>
    <row r="580" spans="1:28" s="31" customFormat="1" ht="52.5" customHeight="1" x14ac:dyDescent="0.35">
      <c r="B580" s="53">
        <f>IF(OR(E580=0,E580=""),"",COUNTA($E$307:E580))</f>
        <v>237</v>
      </c>
      <c r="C580" s="53" t="s">
        <v>534</v>
      </c>
      <c r="D580" s="58" t="s">
        <v>1035</v>
      </c>
      <c r="E580" s="59">
        <v>1969</v>
      </c>
      <c r="F580" s="60">
        <v>748.8</v>
      </c>
      <c r="G580" s="60">
        <v>445.3</v>
      </c>
      <c r="H580" s="60">
        <v>0</v>
      </c>
      <c r="I580" s="60" t="s">
        <v>35</v>
      </c>
      <c r="J580" s="60"/>
      <c r="K580" s="60"/>
      <c r="L580" s="60"/>
      <c r="M580" s="60"/>
      <c r="N580" s="60"/>
      <c r="O580" s="60"/>
      <c r="P580" s="60">
        <f t="shared" si="369"/>
        <v>1436947.2</v>
      </c>
      <c r="Q580" s="60"/>
      <c r="R580" s="60"/>
      <c r="S580" s="60"/>
      <c r="T580" s="60"/>
      <c r="U580" s="60"/>
      <c r="V580" s="60"/>
      <c r="W580" s="62">
        <f t="shared" si="366"/>
        <v>1436947.2</v>
      </c>
      <c r="X580" s="60" t="s">
        <v>18</v>
      </c>
      <c r="Y580" s="59">
        <v>0</v>
      </c>
      <c r="Z580" s="59">
        <v>0</v>
      </c>
      <c r="AA580" s="59">
        <v>0</v>
      </c>
      <c r="AB580" s="54">
        <f t="shared" si="367"/>
        <v>1436947.2</v>
      </c>
    </row>
    <row r="581" spans="1:28" s="31" customFormat="1" ht="52.5" customHeight="1" x14ac:dyDescent="0.35">
      <c r="B581" s="53">
        <f>IF(OR(E581=0,E581=""),"",COUNTA($E$307:E581))</f>
        <v>238</v>
      </c>
      <c r="C581" s="53" t="s">
        <v>535</v>
      </c>
      <c r="D581" s="58" t="s">
        <v>782</v>
      </c>
      <c r="E581" s="59">
        <v>1981</v>
      </c>
      <c r="F581" s="60">
        <v>1406</v>
      </c>
      <c r="G581" s="60">
        <v>380.8</v>
      </c>
      <c r="H581" s="60">
        <v>0</v>
      </c>
      <c r="I581" s="60" t="s">
        <v>35</v>
      </c>
      <c r="J581" s="60"/>
      <c r="K581" s="60"/>
      <c r="L581" s="60"/>
      <c r="M581" s="60"/>
      <c r="N581" s="60"/>
      <c r="O581" s="60"/>
      <c r="P581" s="60"/>
      <c r="Q581" s="60"/>
      <c r="R581" s="60">
        <f>1853*F581</f>
        <v>2605318</v>
      </c>
      <c r="S581" s="60"/>
      <c r="T581" s="60"/>
      <c r="U581" s="60"/>
      <c r="V581" s="60"/>
      <c r="W581" s="62">
        <v>1297975.99</v>
      </c>
      <c r="X581" s="60" t="s">
        <v>18</v>
      </c>
      <c r="Y581" s="59">
        <v>0</v>
      </c>
      <c r="Z581" s="59">
        <v>0</v>
      </c>
      <c r="AA581" s="59">
        <v>0</v>
      </c>
      <c r="AB581" s="54">
        <v>1297975.99</v>
      </c>
    </row>
    <row r="582" spans="1:28" s="31" customFormat="1" ht="52.5" customHeight="1" x14ac:dyDescent="0.35">
      <c r="B582" s="53">
        <f>IF(OR(E582=0,E582=""),"",COUNTA($E$307:E582))</f>
        <v>239</v>
      </c>
      <c r="C582" s="53" t="s">
        <v>532</v>
      </c>
      <c r="D582" s="87" t="s">
        <v>1036</v>
      </c>
      <c r="E582" s="59">
        <v>1963</v>
      </c>
      <c r="F582" s="60">
        <v>1293.3</v>
      </c>
      <c r="G582" s="60">
        <v>459.5</v>
      </c>
      <c r="H582" s="60">
        <v>0</v>
      </c>
      <c r="I582" s="60" t="s">
        <v>35</v>
      </c>
      <c r="J582" s="60"/>
      <c r="K582" s="60"/>
      <c r="L582" s="60"/>
      <c r="M582" s="60"/>
      <c r="N582" s="60"/>
      <c r="O582" s="60"/>
      <c r="P582" s="60">
        <f t="shared" ref="P582" si="370">1919*F582</f>
        <v>2481842.7000000002</v>
      </c>
      <c r="Q582" s="60"/>
      <c r="R582" s="60"/>
      <c r="S582" s="60"/>
      <c r="T582" s="60"/>
      <c r="U582" s="60"/>
      <c r="V582" s="60"/>
      <c r="W582" s="62">
        <v>3064890.69</v>
      </c>
      <c r="X582" s="60" t="s">
        <v>18</v>
      </c>
      <c r="Y582" s="59">
        <v>0</v>
      </c>
      <c r="Z582" s="59">
        <v>0</v>
      </c>
      <c r="AA582" s="59">
        <v>0</v>
      </c>
      <c r="AB582" s="54">
        <v>3064890.69</v>
      </c>
    </row>
    <row r="583" spans="1:28" s="31" customFormat="1" ht="52.5" customHeight="1" x14ac:dyDescent="0.35">
      <c r="B583" s="53">
        <f>IF(OR(E583=0,E583=""),"",COUNTA($E$307:E583))</f>
        <v>240</v>
      </c>
      <c r="C583" s="53" t="s">
        <v>530</v>
      </c>
      <c r="D583" s="58" t="s">
        <v>1037</v>
      </c>
      <c r="E583" s="59">
        <v>1988</v>
      </c>
      <c r="F583" s="59">
        <v>1365.5</v>
      </c>
      <c r="G583" s="60">
        <v>526.5</v>
      </c>
      <c r="H583" s="60">
        <v>0</v>
      </c>
      <c r="I583" s="60" t="s">
        <v>35</v>
      </c>
      <c r="J583" s="60"/>
      <c r="K583" s="60"/>
      <c r="L583" s="60"/>
      <c r="M583" s="60"/>
      <c r="N583" s="60"/>
      <c r="O583" s="60"/>
      <c r="P583" s="60">
        <f t="shared" ref="P583" si="371">1919*F583</f>
        <v>2620394.5</v>
      </c>
      <c r="Q583" s="60"/>
      <c r="R583" s="60"/>
      <c r="S583" s="60"/>
      <c r="T583" s="60"/>
      <c r="U583" s="60">
        <v>363988.8</v>
      </c>
      <c r="V583" s="60">
        <v>26549.09</v>
      </c>
      <c r="W583" s="62">
        <v>3430371.89</v>
      </c>
      <c r="X583" s="60" t="s">
        <v>18</v>
      </c>
      <c r="Y583" s="59">
        <v>0</v>
      </c>
      <c r="Z583" s="59">
        <v>0</v>
      </c>
      <c r="AA583" s="59">
        <v>0</v>
      </c>
      <c r="AB583" s="54">
        <v>3430371.89</v>
      </c>
    </row>
    <row r="584" spans="1:28" s="31" customFormat="1" ht="52.5" customHeight="1" x14ac:dyDescent="0.35">
      <c r="A584" s="31">
        <v>2019</v>
      </c>
      <c r="B584" s="53" t="str">
        <f>IF(OR(E584=0,E584=""),"",COUNTA($E$307:E584))</f>
        <v/>
      </c>
      <c r="C584" s="53"/>
      <c r="D584" s="58"/>
      <c r="E584" s="59"/>
      <c r="F584" s="54">
        <f>SUM(F577:F583)</f>
        <v>9151.7999999999993</v>
      </c>
      <c r="G584" s="54">
        <f>SUM(G577:G583)</f>
        <v>4091.1</v>
      </c>
      <c r="H584" s="54">
        <f>SUM(H577:H583)</f>
        <v>0</v>
      </c>
      <c r="I584" s="54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56">
        <f>SUM(W577:W583)</f>
        <v>22383041.969999999</v>
      </c>
      <c r="X584" s="60"/>
      <c r="Y584" s="52">
        <v>0</v>
      </c>
      <c r="Z584" s="52">
        <v>0</v>
      </c>
      <c r="AA584" s="52">
        <v>0</v>
      </c>
      <c r="AB584" s="54">
        <f>SUM(AB577:AB583)</f>
        <v>22383041.969999999</v>
      </c>
    </row>
    <row r="585" spans="1:28" s="31" customFormat="1" ht="52.5" customHeight="1" x14ac:dyDescent="0.35">
      <c r="A585" s="31">
        <v>2019</v>
      </c>
      <c r="B585" s="53" t="str">
        <f>IF(OR(E585=0,E585=""),"",COUNTA($E$307:E585))</f>
        <v/>
      </c>
      <c r="C585" s="53"/>
      <c r="D585" s="57" t="s">
        <v>92</v>
      </c>
      <c r="E585" s="57"/>
      <c r="F585" s="54"/>
      <c r="G585" s="54"/>
      <c r="H585" s="54"/>
      <c r="I585" s="54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59"/>
      <c r="Z585" s="59"/>
      <c r="AA585" s="59"/>
      <c r="AB585" s="54"/>
    </row>
    <row r="586" spans="1:28" s="31" customFormat="1" ht="52.5" customHeight="1" x14ac:dyDescent="0.35">
      <c r="A586" s="31">
        <v>2019</v>
      </c>
      <c r="B586" s="53">
        <f>IF(OR(E586=0,E586=""),"",COUNTA($E$307:E586))</f>
        <v>241</v>
      </c>
      <c r="C586" s="53" t="s">
        <v>538</v>
      </c>
      <c r="D586" s="58" t="s">
        <v>1038</v>
      </c>
      <c r="E586" s="59">
        <v>1960</v>
      </c>
      <c r="F586" s="60">
        <v>824.4</v>
      </c>
      <c r="G586" s="60">
        <v>755.4</v>
      </c>
      <c r="H586" s="60">
        <v>0</v>
      </c>
      <c r="I586" s="60" t="s">
        <v>35</v>
      </c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>
        <f>119*F586</f>
        <v>98103.6</v>
      </c>
      <c r="V586" s="60"/>
      <c r="W586" s="62">
        <f>V586+U586+T586+S586+R586+Q586+P586+O586+N586+M586+L586+K586+J586</f>
        <v>98103.6</v>
      </c>
      <c r="X586" s="60" t="s">
        <v>18</v>
      </c>
      <c r="Y586" s="59">
        <v>0</v>
      </c>
      <c r="Z586" s="59">
        <v>0</v>
      </c>
      <c r="AA586" s="59">
        <v>0</v>
      </c>
      <c r="AB586" s="54">
        <f>W586-(Y586+Z586+AA586)</f>
        <v>98103.6</v>
      </c>
    </row>
    <row r="587" spans="1:28" s="31" customFormat="1" ht="52.5" customHeight="1" x14ac:dyDescent="0.35">
      <c r="A587" s="31">
        <v>2019</v>
      </c>
      <c r="B587" s="53" t="str">
        <f>IF(OR(E587=0,E587=""),"",COUNTA($E$307:E587))</f>
        <v/>
      </c>
      <c r="C587" s="53"/>
      <c r="D587" s="58"/>
      <c r="E587" s="59"/>
      <c r="F587" s="54">
        <f>SUM(F586:F586)</f>
        <v>824.4</v>
      </c>
      <c r="G587" s="54">
        <f>SUM(G586:G586)</f>
        <v>755.4</v>
      </c>
      <c r="H587" s="54">
        <f>SUM(H586:H586)</f>
        <v>0</v>
      </c>
      <c r="I587" s="54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54">
        <f>SUM(W586:W586)</f>
        <v>98103.6</v>
      </c>
      <c r="X587" s="60"/>
      <c r="Y587" s="52">
        <v>0</v>
      </c>
      <c r="Z587" s="52">
        <v>0</v>
      </c>
      <c r="AA587" s="52">
        <v>0</v>
      </c>
      <c r="AB587" s="54">
        <f>W587-(Y587+Z587+AA587)</f>
        <v>98103.6</v>
      </c>
    </row>
    <row r="588" spans="1:28" s="31" customFormat="1" ht="52.5" customHeight="1" x14ac:dyDescent="0.35">
      <c r="A588" s="31">
        <v>2019</v>
      </c>
      <c r="B588" s="53" t="str">
        <f>IF(OR(E588=0,E588=""),"",COUNTA($E$307:E588))</f>
        <v/>
      </c>
      <c r="C588" s="53"/>
      <c r="D588" s="57" t="s">
        <v>27</v>
      </c>
      <c r="E588" s="59"/>
      <c r="F588" s="54"/>
      <c r="G588" s="54"/>
      <c r="H588" s="54"/>
      <c r="I588" s="54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54"/>
      <c r="X588" s="60"/>
      <c r="Y588" s="53"/>
      <c r="Z588" s="53"/>
      <c r="AA588" s="53"/>
      <c r="AB588" s="54"/>
    </row>
    <row r="589" spans="1:28" s="31" customFormat="1" ht="52.5" customHeight="1" x14ac:dyDescent="0.35">
      <c r="B589" s="53">
        <f>IF(OR(E589=0,E589=""),"",COUNTA($E$307:E589))</f>
        <v>242</v>
      </c>
      <c r="C589" s="53" t="s">
        <v>541</v>
      </c>
      <c r="D589" s="82" t="s">
        <v>793</v>
      </c>
      <c r="E589" s="71">
        <v>1969</v>
      </c>
      <c r="F589" s="66">
        <v>690</v>
      </c>
      <c r="G589" s="66">
        <v>641.20000000000005</v>
      </c>
      <c r="H589" s="66">
        <v>0</v>
      </c>
      <c r="I589" s="60" t="s">
        <v>35</v>
      </c>
      <c r="J589" s="60"/>
      <c r="K589" s="60"/>
      <c r="L589" s="60"/>
      <c r="M589" s="60"/>
      <c r="N589" s="60"/>
      <c r="O589" s="60"/>
      <c r="P589" s="60">
        <f t="shared" ref="P589" si="372">1919*F589</f>
        <v>1324110</v>
      </c>
      <c r="Q589" s="60"/>
      <c r="R589" s="60"/>
      <c r="S589" s="60">
        <f>F589*114</f>
        <v>78660</v>
      </c>
      <c r="T589" s="60"/>
      <c r="U589" s="60"/>
      <c r="V589" s="60"/>
      <c r="W589" s="62">
        <f>V589+U589+T589+S589+R589+Q589+P589+O589+N589+M589+L589+K589+J589</f>
        <v>1402770</v>
      </c>
      <c r="X589" s="60" t="s">
        <v>18</v>
      </c>
      <c r="Y589" s="59">
        <v>0</v>
      </c>
      <c r="Z589" s="59">
        <v>0</v>
      </c>
      <c r="AA589" s="59">
        <v>0</v>
      </c>
      <c r="AB589" s="54">
        <f>W589-(Y589+Z589+AA589)</f>
        <v>1402770</v>
      </c>
    </row>
    <row r="590" spans="1:28" s="31" customFormat="1" ht="52.5" customHeight="1" x14ac:dyDescent="0.35">
      <c r="A590" s="31">
        <v>2019</v>
      </c>
      <c r="B590" s="53" t="str">
        <f>IF(OR(E590=0,E590=""),"",COUNTA($E$307:E590))</f>
        <v/>
      </c>
      <c r="C590" s="53"/>
      <c r="D590" s="58"/>
      <c r="E590" s="59"/>
      <c r="F590" s="54">
        <f>SUM(F589:F589)</f>
        <v>690</v>
      </c>
      <c r="G590" s="54">
        <f>SUM(G589:G589)</f>
        <v>641.20000000000005</v>
      </c>
      <c r="H590" s="54">
        <f>SUM(H589:H589)</f>
        <v>0</v>
      </c>
      <c r="I590" s="54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54">
        <f>SUM(W589:W589)</f>
        <v>1402770</v>
      </c>
      <c r="X590" s="60"/>
      <c r="Y590" s="52">
        <v>0</v>
      </c>
      <c r="Z590" s="52">
        <v>0</v>
      </c>
      <c r="AA590" s="52">
        <v>0</v>
      </c>
      <c r="AB590" s="54">
        <f>SUM(AB589:AB589)</f>
        <v>1402770</v>
      </c>
    </row>
    <row r="591" spans="1:28" s="31" customFormat="1" ht="52.5" customHeight="1" x14ac:dyDescent="0.35">
      <c r="A591" s="31">
        <v>2019</v>
      </c>
      <c r="B591" s="53" t="str">
        <f>IF(OR(E591=0,E591=""),"",COUNTA($E$307:E591))</f>
        <v/>
      </c>
      <c r="C591" s="53"/>
      <c r="D591" s="57" t="s">
        <v>13</v>
      </c>
      <c r="E591" s="57"/>
      <c r="F591" s="54"/>
      <c r="G591" s="54"/>
      <c r="H591" s="54"/>
      <c r="I591" s="54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59"/>
      <c r="Z591" s="59"/>
      <c r="AA591" s="59"/>
      <c r="AB591" s="54"/>
    </row>
    <row r="592" spans="1:28" s="31" customFormat="1" ht="52.5" customHeight="1" x14ac:dyDescent="0.35">
      <c r="A592" s="31">
        <v>2019</v>
      </c>
      <c r="B592" s="53">
        <f>IF(OR(E592=0,E592=""),"",COUNTA($E$307:E592))</f>
        <v>243</v>
      </c>
      <c r="C592" s="53" t="s">
        <v>542</v>
      </c>
      <c r="D592" s="58" t="s">
        <v>1039</v>
      </c>
      <c r="E592" s="59">
        <v>1967</v>
      </c>
      <c r="F592" s="60">
        <v>768.7</v>
      </c>
      <c r="G592" s="60">
        <v>392.2</v>
      </c>
      <c r="H592" s="60">
        <v>264.5</v>
      </c>
      <c r="I592" s="60" t="s">
        <v>35</v>
      </c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>
        <f>119*F592</f>
        <v>91475.3</v>
      </c>
      <c r="V592" s="60"/>
      <c r="W592" s="62">
        <f>V592+U592+T592+S592+R592+Q592+P592+O592+N592+M592+L592+K592+J592</f>
        <v>91475.3</v>
      </c>
      <c r="X592" s="60" t="s">
        <v>18</v>
      </c>
      <c r="Y592" s="59">
        <v>0</v>
      </c>
      <c r="Z592" s="59">
        <v>0</v>
      </c>
      <c r="AA592" s="59">
        <v>0</v>
      </c>
      <c r="AB592" s="54">
        <f>W592-(Y592+Z592+AA592)</f>
        <v>91475.3</v>
      </c>
    </row>
    <row r="593" spans="1:28" s="31" customFormat="1" ht="52.5" customHeight="1" x14ac:dyDescent="0.35">
      <c r="A593" s="31">
        <v>2019</v>
      </c>
      <c r="B593" s="53" t="str">
        <f>IF(OR(E593=0,E593=""),"",COUNTA($E$307:E593))</f>
        <v/>
      </c>
      <c r="C593" s="53"/>
      <c r="D593" s="58"/>
      <c r="E593" s="59"/>
      <c r="F593" s="54">
        <f>SUM(F592:F592)</f>
        <v>768.7</v>
      </c>
      <c r="G593" s="54">
        <f>SUM(G592:G592)</f>
        <v>392.2</v>
      </c>
      <c r="H593" s="54">
        <f>SUM(H592)</f>
        <v>264.5</v>
      </c>
      <c r="I593" s="54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54">
        <f>SUM(W592:W592)</f>
        <v>91475.3</v>
      </c>
      <c r="X593" s="60"/>
      <c r="Y593" s="52">
        <v>0</v>
      </c>
      <c r="Z593" s="52">
        <v>0</v>
      </c>
      <c r="AA593" s="52">
        <v>0</v>
      </c>
      <c r="AB593" s="54">
        <f>W593-(Y593+Z593+AA593)</f>
        <v>91475.3</v>
      </c>
    </row>
    <row r="594" spans="1:28" s="31" customFormat="1" ht="52.5" customHeight="1" x14ac:dyDescent="0.35">
      <c r="A594" s="31">
        <v>2019</v>
      </c>
      <c r="B594" s="53" t="str">
        <f>IF(OR(E594=0,E594=""),"",COUNTA($E$307:E594))</f>
        <v/>
      </c>
      <c r="C594" s="53"/>
      <c r="D594" s="57" t="s">
        <v>85</v>
      </c>
      <c r="E594" s="57"/>
      <c r="F594" s="54"/>
      <c r="G594" s="54"/>
      <c r="H594" s="54"/>
      <c r="I594" s="54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59"/>
      <c r="Z594" s="59"/>
      <c r="AA594" s="59"/>
      <c r="AB594" s="54"/>
    </row>
    <row r="595" spans="1:28" s="31" customFormat="1" ht="52.5" customHeight="1" x14ac:dyDescent="0.35">
      <c r="A595" s="31">
        <v>2019</v>
      </c>
      <c r="B595" s="53">
        <f>IF(OR(E595=0,E595=""),"",COUNTA($E$307:E595))</f>
        <v>244</v>
      </c>
      <c r="C595" s="53" t="s">
        <v>545</v>
      </c>
      <c r="D595" s="58" t="s">
        <v>1040</v>
      </c>
      <c r="E595" s="59">
        <v>1943</v>
      </c>
      <c r="F595" s="60">
        <v>428.2</v>
      </c>
      <c r="G595" s="60">
        <v>374.8</v>
      </c>
      <c r="H595" s="60">
        <v>53.4</v>
      </c>
      <c r="I595" s="60" t="s">
        <v>35</v>
      </c>
      <c r="J595" s="60"/>
      <c r="K595" s="60"/>
      <c r="L595" s="60"/>
      <c r="M595" s="60"/>
      <c r="N595" s="60"/>
      <c r="O595" s="60"/>
      <c r="P595" s="60">
        <f>1919*F595</f>
        <v>821715.8</v>
      </c>
      <c r="Q595" s="60"/>
      <c r="R595" s="60">
        <f>1853*F595</f>
        <v>793454.6</v>
      </c>
      <c r="S595" s="60"/>
      <c r="T595" s="60"/>
      <c r="U595" s="60"/>
      <c r="V595" s="60"/>
      <c r="W595" s="62">
        <f>V595+U595+T595+S595+R595+Q595+P595+O595+N595+M595+L595+K595+J595</f>
        <v>1615170.4</v>
      </c>
      <c r="X595" s="60" t="s">
        <v>18</v>
      </c>
      <c r="Y595" s="59">
        <v>0</v>
      </c>
      <c r="Z595" s="59">
        <v>0</v>
      </c>
      <c r="AA595" s="59">
        <v>0</v>
      </c>
      <c r="AB595" s="54">
        <f>W595-(Y595+Z595+AA595)</f>
        <v>1615170.4</v>
      </c>
    </row>
    <row r="596" spans="1:28" s="31" customFormat="1" ht="52.5" customHeight="1" x14ac:dyDescent="0.35">
      <c r="A596" s="31">
        <v>2019</v>
      </c>
      <c r="B596" s="53" t="str">
        <f>IF(OR(E596=0,E596=""),"",COUNTA($E$307:E596))</f>
        <v/>
      </c>
      <c r="C596" s="53"/>
      <c r="D596" s="58"/>
      <c r="E596" s="59"/>
      <c r="F596" s="54">
        <f>SUM(F595:F595)</f>
        <v>428.2</v>
      </c>
      <c r="G596" s="54">
        <f>SUM(G595:G595)</f>
        <v>374.8</v>
      </c>
      <c r="H596" s="54">
        <f>SUM(H595:H595)</f>
        <v>53.4</v>
      </c>
      <c r="I596" s="54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56">
        <f>SUM(W595:W595)</f>
        <v>1615170.4</v>
      </c>
      <c r="X596" s="60"/>
      <c r="Y596" s="52">
        <v>0</v>
      </c>
      <c r="Z596" s="52">
        <v>0</v>
      </c>
      <c r="AA596" s="52">
        <v>0</v>
      </c>
      <c r="AB596" s="54">
        <f>SUM(AB595:AB595)</f>
        <v>1615170.4</v>
      </c>
    </row>
    <row r="597" spans="1:28" s="31" customFormat="1" ht="52.5" customHeight="1" x14ac:dyDescent="0.35">
      <c r="A597" s="31">
        <v>2019</v>
      </c>
      <c r="B597" s="53" t="str">
        <f>IF(OR(E597=0,E597=""),"",COUNTA($E$307:E597))</f>
        <v/>
      </c>
      <c r="C597" s="53"/>
      <c r="D597" s="57" t="s">
        <v>94</v>
      </c>
      <c r="E597" s="57"/>
      <c r="F597" s="54"/>
      <c r="G597" s="54"/>
      <c r="H597" s="54"/>
      <c r="I597" s="54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59"/>
      <c r="Z597" s="59"/>
      <c r="AA597" s="59"/>
      <c r="AB597" s="54"/>
    </row>
    <row r="598" spans="1:28" s="31" customFormat="1" ht="52.5" customHeight="1" x14ac:dyDescent="0.35">
      <c r="A598" s="31">
        <v>2019</v>
      </c>
      <c r="B598" s="53">
        <f>IF(OR(E598=0,E598=""),"",COUNTA($E$307:E598))</f>
        <v>245</v>
      </c>
      <c r="C598" s="53" t="s">
        <v>549</v>
      </c>
      <c r="D598" s="58" t="s">
        <v>1041</v>
      </c>
      <c r="E598" s="59">
        <v>1960</v>
      </c>
      <c r="F598" s="60">
        <v>1364.3</v>
      </c>
      <c r="G598" s="60">
        <v>1252.7</v>
      </c>
      <c r="H598" s="60">
        <v>0</v>
      </c>
      <c r="I598" s="60" t="s">
        <v>36</v>
      </c>
      <c r="J598" s="60"/>
      <c r="K598" s="60"/>
      <c r="L598" s="60"/>
      <c r="M598" s="60"/>
      <c r="N598" s="60"/>
      <c r="O598" s="60"/>
      <c r="P598" s="60">
        <f>1972*F598</f>
        <v>2690399.6</v>
      </c>
      <c r="Q598" s="60"/>
      <c r="R598" s="60">
        <f>1917*F598</f>
        <v>2615363.1</v>
      </c>
      <c r="S598" s="60"/>
      <c r="T598" s="60"/>
      <c r="U598" s="60">
        <f>97*F598</f>
        <v>132337.1</v>
      </c>
      <c r="V598" s="60"/>
      <c r="W598" s="62">
        <f t="shared" ref="W598:W601" si="373">V598+U598+T598+S598+R598+Q598+P598+O598+N598+M598+L598+K598+J598</f>
        <v>5438099.7999999998</v>
      </c>
      <c r="X598" s="60" t="s">
        <v>18</v>
      </c>
      <c r="Y598" s="59">
        <v>0</v>
      </c>
      <c r="Z598" s="59">
        <v>0</v>
      </c>
      <c r="AA598" s="59">
        <v>0</v>
      </c>
      <c r="AB598" s="54">
        <f t="shared" ref="AB598:AB601" si="374">W598-(Y598+Z598+AA598)</f>
        <v>5438099.7999999998</v>
      </c>
    </row>
    <row r="599" spans="1:28" s="31" customFormat="1" ht="52.5" customHeight="1" x14ac:dyDescent="0.35">
      <c r="A599" s="31">
        <v>2019</v>
      </c>
      <c r="B599" s="53">
        <f>IF(OR(E599=0,E599=""),"",COUNTA($E$307:E599))</f>
        <v>246</v>
      </c>
      <c r="C599" s="53" t="s">
        <v>548</v>
      </c>
      <c r="D599" s="58" t="s">
        <v>1042</v>
      </c>
      <c r="E599" s="59">
        <v>1961</v>
      </c>
      <c r="F599" s="60">
        <v>952</v>
      </c>
      <c r="G599" s="60">
        <v>755.7</v>
      </c>
      <c r="H599" s="60">
        <v>41.5</v>
      </c>
      <c r="I599" s="60" t="s">
        <v>35</v>
      </c>
      <c r="J599" s="60"/>
      <c r="K599" s="60"/>
      <c r="L599" s="60"/>
      <c r="M599" s="60"/>
      <c r="N599" s="60"/>
      <c r="O599" s="60"/>
      <c r="P599" s="60">
        <f t="shared" ref="P599:P601" si="375">1919*F599</f>
        <v>1826888</v>
      </c>
      <c r="Q599" s="60"/>
      <c r="R599" s="60">
        <f>1853*F599</f>
        <v>1764056</v>
      </c>
      <c r="S599" s="60"/>
      <c r="T599" s="60"/>
      <c r="U599" s="60">
        <f t="shared" ref="U599:U601" si="376">119*F599</f>
        <v>113288</v>
      </c>
      <c r="V599" s="60"/>
      <c r="W599" s="62">
        <f t="shared" si="373"/>
        <v>3704232</v>
      </c>
      <c r="X599" s="60" t="s">
        <v>18</v>
      </c>
      <c r="Y599" s="59">
        <v>0</v>
      </c>
      <c r="Z599" s="59">
        <v>0</v>
      </c>
      <c r="AA599" s="59">
        <v>0</v>
      </c>
      <c r="AB599" s="54">
        <f t="shared" si="374"/>
        <v>3704232</v>
      </c>
    </row>
    <row r="600" spans="1:28" s="31" customFormat="1" ht="52.5" customHeight="1" x14ac:dyDescent="0.35">
      <c r="B600" s="53">
        <f>IF(OR(E600=0,E600=""),"",COUNTA($E$307:E600))</f>
        <v>247</v>
      </c>
      <c r="C600" s="53" t="s">
        <v>547</v>
      </c>
      <c r="D600" s="58" t="s">
        <v>1043</v>
      </c>
      <c r="E600" s="59">
        <v>1963</v>
      </c>
      <c r="F600" s="60">
        <v>614.9</v>
      </c>
      <c r="G600" s="60">
        <v>357.4</v>
      </c>
      <c r="H600" s="60">
        <v>18.5</v>
      </c>
      <c r="I600" s="60" t="s">
        <v>35</v>
      </c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>
        <v>85471.1</v>
      </c>
      <c r="V600" s="60"/>
      <c r="W600" s="62">
        <f t="shared" si="373"/>
        <v>85471.1</v>
      </c>
      <c r="X600" s="60" t="s">
        <v>18</v>
      </c>
      <c r="Y600" s="59">
        <v>0</v>
      </c>
      <c r="Z600" s="59">
        <v>0</v>
      </c>
      <c r="AA600" s="59">
        <v>0</v>
      </c>
      <c r="AB600" s="54">
        <f t="shared" ref="AB600" si="377">W600-(Y600+Z600+AA600)</f>
        <v>85471.1</v>
      </c>
    </row>
    <row r="601" spans="1:28" s="31" customFormat="1" ht="52.5" customHeight="1" x14ac:dyDescent="0.35">
      <c r="A601" s="31">
        <v>2019</v>
      </c>
      <c r="B601" s="53">
        <f>IF(OR(E601=0,E601=""),"",COUNTA($E$307:E601))</f>
        <v>248</v>
      </c>
      <c r="C601" s="53" t="s">
        <v>546</v>
      </c>
      <c r="D601" s="58" t="s">
        <v>1044</v>
      </c>
      <c r="E601" s="59">
        <v>1962</v>
      </c>
      <c r="F601" s="60">
        <v>2024.27</v>
      </c>
      <c r="G601" s="60">
        <v>1305.97</v>
      </c>
      <c r="H601" s="60">
        <v>718.3</v>
      </c>
      <c r="I601" s="60" t="s">
        <v>34</v>
      </c>
      <c r="J601" s="60"/>
      <c r="K601" s="60"/>
      <c r="L601" s="60"/>
      <c r="M601" s="60"/>
      <c r="N601" s="60"/>
      <c r="O601" s="60"/>
      <c r="P601" s="60">
        <f t="shared" si="375"/>
        <v>3884574.13</v>
      </c>
      <c r="Q601" s="60"/>
      <c r="R601" s="60">
        <f>1853*F601</f>
        <v>3750972.31</v>
      </c>
      <c r="S601" s="60"/>
      <c r="T601" s="60"/>
      <c r="U601" s="60">
        <f t="shared" si="376"/>
        <v>240888.13</v>
      </c>
      <c r="V601" s="60"/>
      <c r="W601" s="62">
        <f t="shared" si="373"/>
        <v>7876434.5700000003</v>
      </c>
      <c r="X601" s="60" t="s">
        <v>18</v>
      </c>
      <c r="Y601" s="59">
        <v>0</v>
      </c>
      <c r="Z601" s="59">
        <v>0</v>
      </c>
      <c r="AA601" s="59">
        <v>0</v>
      </c>
      <c r="AB601" s="54">
        <f t="shared" si="374"/>
        <v>7876434.5700000003</v>
      </c>
    </row>
    <row r="602" spans="1:28" s="31" customFormat="1" ht="52.5" customHeight="1" x14ac:dyDescent="0.35">
      <c r="A602" s="31">
        <v>2019</v>
      </c>
      <c r="B602" s="53" t="str">
        <f>IF(OR(E602=0,E602=""),"",COUNTA($E$307:E602))</f>
        <v/>
      </c>
      <c r="C602" s="53"/>
      <c r="D602" s="58"/>
      <c r="E602" s="59"/>
      <c r="F602" s="54">
        <f>SUM(F598:F601)</f>
        <v>4955.47</v>
      </c>
      <c r="G602" s="54">
        <f>SUM(G598:G601)</f>
        <v>3671.77</v>
      </c>
      <c r="H602" s="54">
        <f>SUM(H598:H601)</f>
        <v>778.3</v>
      </c>
      <c r="I602" s="54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54">
        <f>SUM(W598:W601)</f>
        <v>17104237.469999999</v>
      </c>
      <c r="X602" s="60"/>
      <c r="Y602" s="53">
        <v>0</v>
      </c>
      <c r="Z602" s="53">
        <v>0</v>
      </c>
      <c r="AA602" s="53">
        <v>0</v>
      </c>
      <c r="AB602" s="54">
        <f>SUM(AB598:AB601)</f>
        <v>17104237.469999999</v>
      </c>
    </row>
    <row r="603" spans="1:28" s="31" customFormat="1" ht="52.5" customHeight="1" x14ac:dyDescent="0.35">
      <c r="B603" s="53" t="str">
        <f>IF(OR(E603=0,E603=""),"",COUNTA($E$307:E603))</f>
        <v/>
      </c>
      <c r="C603" s="53"/>
      <c r="D603" s="57" t="s">
        <v>93</v>
      </c>
      <c r="E603" s="59"/>
      <c r="F603" s="54"/>
      <c r="G603" s="54"/>
      <c r="H603" s="54"/>
      <c r="I603" s="54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54"/>
      <c r="X603" s="60"/>
      <c r="Y603" s="53"/>
      <c r="Z603" s="53"/>
      <c r="AA603" s="53"/>
      <c r="AB603" s="54"/>
    </row>
    <row r="604" spans="1:28" s="31" customFormat="1" ht="52.5" customHeight="1" x14ac:dyDescent="0.35">
      <c r="B604" s="53">
        <f>IF(OR(E604=0,E604=""),"",COUNTA($E$307:E604))</f>
        <v>249</v>
      </c>
      <c r="C604" s="53" t="s">
        <v>552</v>
      </c>
      <c r="D604" s="58" t="s">
        <v>1045</v>
      </c>
      <c r="E604" s="59">
        <v>1969</v>
      </c>
      <c r="F604" s="60">
        <v>975.5</v>
      </c>
      <c r="G604" s="60">
        <v>593.5</v>
      </c>
      <c r="H604" s="60">
        <v>0</v>
      </c>
      <c r="I604" s="60" t="s">
        <v>35</v>
      </c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>
        <v>135594.5</v>
      </c>
      <c r="V604" s="60"/>
      <c r="W604" s="62">
        <f>V604+U604+T604+S604+R604+Q604+P604+O604+N604+M604+L604+K604+J604</f>
        <v>135594.5</v>
      </c>
      <c r="X604" s="60" t="s">
        <v>18</v>
      </c>
      <c r="Y604" s="59">
        <v>0</v>
      </c>
      <c r="Z604" s="59">
        <v>0</v>
      </c>
      <c r="AA604" s="59">
        <v>0</v>
      </c>
      <c r="AB604" s="54">
        <f>W604-(Y604+Z604+AA604)</f>
        <v>135594.5</v>
      </c>
    </row>
    <row r="605" spans="1:28" s="31" customFormat="1" ht="52.5" customHeight="1" x14ac:dyDescent="0.35">
      <c r="B605" s="53" t="str">
        <f>IF(OR(E605=0,E605=""),"",COUNTA($E$307:E605))</f>
        <v/>
      </c>
      <c r="C605" s="53"/>
      <c r="D605" s="58"/>
      <c r="E605" s="59"/>
      <c r="F605" s="54">
        <f>SUM(F604:F604)</f>
        <v>975.5</v>
      </c>
      <c r="G605" s="54">
        <f>SUM(G604:G604)</f>
        <v>593.5</v>
      </c>
      <c r="H605" s="54">
        <f>SUM(H604:H604)</f>
        <v>0</v>
      </c>
      <c r="I605" s="54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54">
        <f>SUM(W604:W604)</f>
        <v>135594.5</v>
      </c>
      <c r="X605" s="54"/>
      <c r="Y605" s="54"/>
      <c r="Z605" s="53"/>
      <c r="AA605" s="53"/>
      <c r="AB605" s="54">
        <f>SUM(AB604:AB604)</f>
        <v>135594.5</v>
      </c>
    </row>
    <row r="606" spans="1:28" s="31" customFormat="1" ht="52.5" customHeight="1" x14ac:dyDescent="0.35">
      <c r="A606" s="31">
        <v>2019</v>
      </c>
      <c r="B606" s="53" t="str">
        <f>IF(OR(E606=0,E606=""),"",COUNTA($E$307:E606))</f>
        <v/>
      </c>
      <c r="C606" s="53"/>
      <c r="D606" s="57" t="s">
        <v>81</v>
      </c>
      <c r="E606" s="57"/>
      <c r="F606" s="54"/>
      <c r="G606" s="54"/>
      <c r="H606" s="54"/>
      <c r="I606" s="54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59"/>
      <c r="Z606" s="59"/>
      <c r="AA606" s="59"/>
      <c r="AB606" s="54"/>
    </row>
    <row r="607" spans="1:28" s="31" customFormat="1" ht="52.5" customHeight="1" x14ac:dyDescent="0.35">
      <c r="B607" s="53">
        <f>IF(OR(E607=0,E607=""),"",COUNTA($E$307:E607))</f>
        <v>250</v>
      </c>
      <c r="C607" s="53" t="s">
        <v>557</v>
      </c>
      <c r="D607" s="58" t="s">
        <v>1046</v>
      </c>
      <c r="E607" s="59">
        <v>1957</v>
      </c>
      <c r="F607" s="60">
        <v>1860.7</v>
      </c>
      <c r="G607" s="60">
        <v>779.4</v>
      </c>
      <c r="H607" s="60">
        <v>243.3</v>
      </c>
      <c r="I607" s="60" t="s">
        <v>35</v>
      </c>
      <c r="J607" s="60"/>
      <c r="K607" s="60">
        <f>577*F607</f>
        <v>1073623.8999999999</v>
      </c>
      <c r="L607" s="60"/>
      <c r="M607" s="60"/>
      <c r="N607" s="60"/>
      <c r="O607" s="60"/>
      <c r="P607" s="60">
        <f t="shared" ref="P607:P608" si="378">1919*F607</f>
        <v>3570683.3</v>
      </c>
      <c r="Q607" s="60">
        <f>F607*48</f>
        <v>89313.600000000006</v>
      </c>
      <c r="R607" s="60">
        <f>1853*F607</f>
        <v>3447877.1</v>
      </c>
      <c r="S607" s="60">
        <f>F607*114</f>
        <v>212119.8</v>
      </c>
      <c r="T607" s="60"/>
      <c r="U607" s="60"/>
      <c r="V607" s="60">
        <f>(J607+K607+L607+M607+N607+O607+P607+Q607+R607+S607+T607)*0.0214</f>
        <v>179623.42</v>
      </c>
      <c r="W607" s="62">
        <f t="shared" ref="W607:W618" si="379">V607+U607+T607+S607+R607+Q607+P607+O607+N607+M607+L607+K607+J607</f>
        <v>8573241.1199999992</v>
      </c>
      <c r="X607" s="60" t="s">
        <v>18</v>
      </c>
      <c r="Y607" s="59">
        <v>0</v>
      </c>
      <c r="Z607" s="59">
        <v>0</v>
      </c>
      <c r="AA607" s="59">
        <v>0</v>
      </c>
      <c r="AB607" s="54">
        <f t="shared" ref="AB607:AB618" si="380">W607-(Y607+Z607+AA607)</f>
        <v>8573241.1199999992</v>
      </c>
    </row>
    <row r="608" spans="1:28" s="31" customFormat="1" ht="52.5" customHeight="1" x14ac:dyDescent="0.35">
      <c r="A608" s="31">
        <v>2019</v>
      </c>
      <c r="B608" s="53">
        <f>IF(OR(E608=0,E608=""),"",COUNTA($E$307:E608))</f>
        <v>251</v>
      </c>
      <c r="C608" s="53" t="s">
        <v>561</v>
      </c>
      <c r="D608" s="58" t="s">
        <v>1047</v>
      </c>
      <c r="E608" s="59">
        <v>1950</v>
      </c>
      <c r="F608" s="60">
        <v>1524.1</v>
      </c>
      <c r="G608" s="60">
        <v>611.1</v>
      </c>
      <c r="H608" s="60">
        <v>56.9</v>
      </c>
      <c r="I608" s="60" t="s">
        <v>35</v>
      </c>
      <c r="J608" s="60"/>
      <c r="K608" s="60"/>
      <c r="L608" s="60"/>
      <c r="M608" s="60"/>
      <c r="N608" s="60"/>
      <c r="O608" s="60"/>
      <c r="P608" s="60">
        <f t="shared" si="378"/>
        <v>2924747.9</v>
      </c>
      <c r="Q608" s="60"/>
      <c r="R608" s="60">
        <f>1853*F608</f>
        <v>2824157.3</v>
      </c>
      <c r="S608" s="60"/>
      <c r="T608" s="60"/>
      <c r="U608" s="60">
        <f>119*F608</f>
        <v>181367.9</v>
      </c>
      <c r="V608" s="60"/>
      <c r="W608" s="62">
        <f t="shared" si="379"/>
        <v>5930273.0999999996</v>
      </c>
      <c r="X608" s="60" t="s">
        <v>18</v>
      </c>
      <c r="Y608" s="59">
        <v>0</v>
      </c>
      <c r="Z608" s="59">
        <v>0</v>
      </c>
      <c r="AA608" s="59">
        <v>0</v>
      </c>
      <c r="AB608" s="54">
        <f t="shared" si="380"/>
        <v>5930273.0999999996</v>
      </c>
    </row>
    <row r="609" spans="1:28" s="31" customFormat="1" ht="52.5" customHeight="1" x14ac:dyDescent="0.35">
      <c r="A609" s="31">
        <v>2019</v>
      </c>
      <c r="B609" s="53">
        <f>IF(OR(E609=0,E609=""),"",COUNTA($E$307:E609))</f>
        <v>252</v>
      </c>
      <c r="C609" s="53" t="s">
        <v>569</v>
      </c>
      <c r="D609" s="58" t="s">
        <v>1048</v>
      </c>
      <c r="E609" s="59">
        <v>1968</v>
      </c>
      <c r="F609" s="60">
        <v>2211.9</v>
      </c>
      <c r="G609" s="60">
        <v>1250.4000000000001</v>
      </c>
      <c r="H609" s="59">
        <v>961.5</v>
      </c>
      <c r="I609" s="60" t="s">
        <v>36</v>
      </c>
      <c r="J609" s="60"/>
      <c r="K609" s="60"/>
      <c r="L609" s="60"/>
      <c r="M609" s="60"/>
      <c r="N609" s="60"/>
      <c r="O609" s="60"/>
      <c r="P609" s="60">
        <f>1972*F609</f>
        <v>4361866.8</v>
      </c>
      <c r="Q609" s="60"/>
      <c r="R609" s="60">
        <f>1917*F609</f>
        <v>4240212.3</v>
      </c>
      <c r="S609" s="60"/>
      <c r="T609" s="60"/>
      <c r="U609" s="60">
        <f>97*F609</f>
        <v>214554.3</v>
      </c>
      <c r="V609" s="60"/>
      <c r="W609" s="62">
        <f t="shared" si="379"/>
        <v>8816633.4000000004</v>
      </c>
      <c r="X609" s="60" t="s">
        <v>18</v>
      </c>
      <c r="Y609" s="59">
        <v>0</v>
      </c>
      <c r="Z609" s="59">
        <v>0</v>
      </c>
      <c r="AA609" s="59">
        <v>0</v>
      </c>
      <c r="AB609" s="54">
        <f t="shared" si="380"/>
        <v>8816633.4000000004</v>
      </c>
    </row>
    <row r="610" spans="1:28" s="31" customFormat="1" ht="52.5" customHeight="1" x14ac:dyDescent="0.35">
      <c r="A610" s="31">
        <v>2019</v>
      </c>
      <c r="B610" s="53">
        <f>IF(OR(E610=0,E610=""),"",COUNTA($E$307:E610))</f>
        <v>253</v>
      </c>
      <c r="C610" s="53" t="s">
        <v>574</v>
      </c>
      <c r="D610" s="58" t="s">
        <v>1049</v>
      </c>
      <c r="E610" s="59">
        <v>1950</v>
      </c>
      <c r="F610" s="60">
        <v>1074.5</v>
      </c>
      <c r="G610" s="60">
        <v>371.3</v>
      </c>
      <c r="H610" s="59">
        <v>703.2</v>
      </c>
      <c r="I610" s="60" t="s">
        <v>29</v>
      </c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>
        <f>328*F610</f>
        <v>352436</v>
      </c>
      <c r="V610" s="60"/>
      <c r="W610" s="62">
        <f t="shared" si="379"/>
        <v>352436</v>
      </c>
      <c r="X610" s="60" t="s">
        <v>18</v>
      </c>
      <c r="Y610" s="59">
        <v>0</v>
      </c>
      <c r="Z610" s="59">
        <v>0</v>
      </c>
      <c r="AA610" s="59">
        <v>0</v>
      </c>
      <c r="AB610" s="54">
        <f t="shared" si="380"/>
        <v>352436</v>
      </c>
    </row>
    <row r="611" spans="1:28" s="31" customFormat="1" ht="52.5" customHeight="1" x14ac:dyDescent="0.35">
      <c r="A611" s="31">
        <v>2019</v>
      </c>
      <c r="B611" s="53">
        <f>IF(OR(E611=0,E611=""),"",COUNTA($E$307:E611))</f>
        <v>254</v>
      </c>
      <c r="C611" s="53" t="s">
        <v>554</v>
      </c>
      <c r="D611" s="58" t="s">
        <v>1050</v>
      </c>
      <c r="E611" s="59">
        <v>1974</v>
      </c>
      <c r="F611" s="60">
        <v>1253</v>
      </c>
      <c r="G611" s="60">
        <v>700.1</v>
      </c>
      <c r="H611" s="60">
        <v>552.9</v>
      </c>
      <c r="I611" s="60" t="s">
        <v>35</v>
      </c>
      <c r="J611" s="60"/>
      <c r="K611" s="60"/>
      <c r="L611" s="60"/>
      <c r="M611" s="60"/>
      <c r="N611" s="60"/>
      <c r="O611" s="60"/>
      <c r="P611" s="60"/>
      <c r="Q611" s="60"/>
      <c r="R611" s="60">
        <f>1853*F611</f>
        <v>2321809</v>
      </c>
      <c r="S611" s="60"/>
      <c r="T611" s="60"/>
      <c r="U611" s="60"/>
      <c r="V611" s="60"/>
      <c r="W611" s="62">
        <f t="shared" si="379"/>
        <v>2321809</v>
      </c>
      <c r="X611" s="60" t="s">
        <v>18</v>
      </c>
      <c r="Y611" s="59">
        <v>0</v>
      </c>
      <c r="Z611" s="59">
        <v>0</v>
      </c>
      <c r="AA611" s="59">
        <v>0</v>
      </c>
      <c r="AB611" s="54">
        <f t="shared" si="380"/>
        <v>2321809</v>
      </c>
    </row>
    <row r="612" spans="1:28" s="31" customFormat="1" ht="52.5" customHeight="1" x14ac:dyDescent="0.35">
      <c r="A612" s="31">
        <v>2019</v>
      </c>
      <c r="B612" s="53">
        <f>IF(OR(E612=0,E612=""),"",COUNTA($E$307:E612))</f>
        <v>255</v>
      </c>
      <c r="C612" s="53" t="s">
        <v>560</v>
      </c>
      <c r="D612" s="58" t="s">
        <v>1051</v>
      </c>
      <c r="E612" s="59">
        <v>1953</v>
      </c>
      <c r="F612" s="60">
        <v>2788.1</v>
      </c>
      <c r="G612" s="60">
        <v>1089.8</v>
      </c>
      <c r="H612" s="60">
        <v>460</v>
      </c>
      <c r="I612" s="60" t="s">
        <v>34</v>
      </c>
      <c r="J612" s="60"/>
      <c r="K612" s="60"/>
      <c r="L612" s="60"/>
      <c r="M612" s="60"/>
      <c r="N612" s="60"/>
      <c r="O612" s="60"/>
      <c r="P612" s="60">
        <f>1919*F612</f>
        <v>5350363.9000000004</v>
      </c>
      <c r="Q612" s="60"/>
      <c r="R612" s="60">
        <f>1853*F612</f>
        <v>5166349.3</v>
      </c>
      <c r="S612" s="60"/>
      <c r="T612" s="60"/>
      <c r="U612" s="60"/>
      <c r="V612" s="60"/>
      <c r="W612" s="62">
        <f t="shared" si="379"/>
        <v>10516713.199999999</v>
      </c>
      <c r="X612" s="60" t="s">
        <v>18</v>
      </c>
      <c r="Y612" s="59">
        <v>0</v>
      </c>
      <c r="Z612" s="59">
        <v>0</v>
      </c>
      <c r="AA612" s="59">
        <v>0</v>
      </c>
      <c r="AB612" s="54">
        <f t="shared" si="380"/>
        <v>10516713.199999999</v>
      </c>
    </row>
    <row r="613" spans="1:28" s="31" customFormat="1" ht="52.5" customHeight="1" x14ac:dyDescent="0.35">
      <c r="A613" s="31">
        <v>2019</v>
      </c>
      <c r="B613" s="53">
        <f>IF(OR(E613=0,E613=""),"",COUNTA($E$307:E613))</f>
        <v>256</v>
      </c>
      <c r="C613" s="53" t="s">
        <v>564</v>
      </c>
      <c r="D613" s="58" t="s">
        <v>1052</v>
      </c>
      <c r="E613" s="59">
        <v>1949</v>
      </c>
      <c r="F613" s="60">
        <v>1097</v>
      </c>
      <c r="G613" s="60">
        <v>654.70000000000005</v>
      </c>
      <c r="H613" s="60">
        <v>442.3</v>
      </c>
      <c r="I613" s="60" t="s">
        <v>35</v>
      </c>
      <c r="J613" s="60"/>
      <c r="K613" s="60"/>
      <c r="L613" s="60"/>
      <c r="M613" s="60"/>
      <c r="N613" s="60"/>
      <c r="O613" s="60"/>
      <c r="P613" s="60"/>
      <c r="Q613" s="60"/>
      <c r="R613" s="60">
        <f>1853*F613</f>
        <v>2032741</v>
      </c>
      <c r="S613" s="60"/>
      <c r="T613" s="60"/>
      <c r="U613" s="60">
        <f>62*F613</f>
        <v>68014</v>
      </c>
      <c r="V613" s="60"/>
      <c r="W613" s="62">
        <f t="shared" si="379"/>
        <v>2100755</v>
      </c>
      <c r="X613" s="60" t="s">
        <v>18</v>
      </c>
      <c r="Y613" s="59">
        <v>0</v>
      </c>
      <c r="Z613" s="59">
        <v>0</v>
      </c>
      <c r="AA613" s="59">
        <v>0</v>
      </c>
      <c r="AB613" s="54">
        <f t="shared" si="380"/>
        <v>2100755</v>
      </c>
    </row>
    <row r="614" spans="1:28" s="31" customFormat="1" ht="52.5" customHeight="1" x14ac:dyDescent="0.35">
      <c r="A614" s="31">
        <v>2019</v>
      </c>
      <c r="B614" s="53">
        <f>IF(OR(E614=0,E614=""),"",COUNTA($E$307:E614))</f>
        <v>257</v>
      </c>
      <c r="C614" s="53" t="s">
        <v>570</v>
      </c>
      <c r="D614" s="58" t="s">
        <v>1053</v>
      </c>
      <c r="E614" s="59">
        <v>1954</v>
      </c>
      <c r="F614" s="60">
        <v>1609</v>
      </c>
      <c r="G614" s="60">
        <v>826.4</v>
      </c>
      <c r="H614" s="59">
        <v>782.6</v>
      </c>
      <c r="I614" s="60" t="s">
        <v>35</v>
      </c>
      <c r="J614" s="60"/>
      <c r="K614" s="60"/>
      <c r="L614" s="60"/>
      <c r="M614" s="60"/>
      <c r="N614" s="60"/>
      <c r="O614" s="60"/>
      <c r="P614" s="60">
        <f t="shared" ref="P614:P615" si="381">1919*F614</f>
        <v>3087671</v>
      </c>
      <c r="Q614" s="60"/>
      <c r="R614" s="60"/>
      <c r="S614" s="60"/>
      <c r="T614" s="60"/>
      <c r="U614" s="60">
        <f>57*F614</f>
        <v>91713</v>
      </c>
      <c r="V614" s="60"/>
      <c r="W614" s="62">
        <f t="shared" si="379"/>
        <v>3179384</v>
      </c>
      <c r="X614" s="60" t="s">
        <v>18</v>
      </c>
      <c r="Y614" s="59">
        <v>0</v>
      </c>
      <c r="Z614" s="59">
        <v>0</v>
      </c>
      <c r="AA614" s="59">
        <v>0</v>
      </c>
      <c r="AB614" s="54">
        <f t="shared" si="380"/>
        <v>3179384</v>
      </c>
    </row>
    <row r="615" spans="1:28" s="31" customFormat="1" ht="52.5" customHeight="1" x14ac:dyDescent="0.35">
      <c r="A615" s="31">
        <v>2019</v>
      </c>
      <c r="B615" s="53">
        <f>IF(OR(E615=0,E615=""),"",COUNTA($E$307:E615))</f>
        <v>258</v>
      </c>
      <c r="C615" s="53" t="s">
        <v>572</v>
      </c>
      <c r="D615" s="58" t="s">
        <v>1054</v>
      </c>
      <c r="E615" s="59">
        <v>1950</v>
      </c>
      <c r="F615" s="60">
        <v>1071.5</v>
      </c>
      <c r="G615" s="60">
        <v>427</v>
      </c>
      <c r="H615" s="60">
        <v>0</v>
      </c>
      <c r="I615" s="60" t="s">
        <v>35</v>
      </c>
      <c r="J615" s="60"/>
      <c r="K615" s="60"/>
      <c r="L615" s="60"/>
      <c r="M615" s="60"/>
      <c r="N615" s="60"/>
      <c r="O615" s="60"/>
      <c r="P615" s="60">
        <f t="shared" si="381"/>
        <v>2056208.5</v>
      </c>
      <c r="Q615" s="60"/>
      <c r="R615" s="60">
        <f>1853*F615</f>
        <v>1985489.5</v>
      </c>
      <c r="S615" s="60"/>
      <c r="T615" s="60"/>
      <c r="U615" s="60"/>
      <c r="V615" s="60"/>
      <c r="W615" s="62">
        <f t="shared" si="379"/>
        <v>4041698</v>
      </c>
      <c r="X615" s="60" t="s">
        <v>18</v>
      </c>
      <c r="Y615" s="59">
        <v>0</v>
      </c>
      <c r="Z615" s="59">
        <v>0</v>
      </c>
      <c r="AA615" s="59">
        <v>0</v>
      </c>
      <c r="AB615" s="54">
        <f t="shared" si="380"/>
        <v>4041698</v>
      </c>
    </row>
    <row r="616" spans="1:28" s="31" customFormat="1" ht="52.5" customHeight="1" x14ac:dyDescent="0.35">
      <c r="B616" s="53">
        <f>IF(OR(E616=0,E616=""),"",COUNTA($E$307:E616))</f>
        <v>259</v>
      </c>
      <c r="C616" s="53" t="s">
        <v>567</v>
      </c>
      <c r="D616" s="58" t="s">
        <v>1055</v>
      </c>
      <c r="E616" s="59">
        <v>1986</v>
      </c>
      <c r="F616" s="60">
        <v>3673.6</v>
      </c>
      <c r="G616" s="60">
        <v>2783.9</v>
      </c>
      <c r="H616" s="59">
        <v>948.6</v>
      </c>
      <c r="I616" s="60" t="s">
        <v>33</v>
      </c>
      <c r="J616" s="60"/>
      <c r="K616" s="60"/>
      <c r="L616" s="60"/>
      <c r="M616" s="60"/>
      <c r="N616" s="60"/>
      <c r="O616" s="60"/>
      <c r="P616" s="60">
        <f>1972*F616</f>
        <v>7244339.2000000002</v>
      </c>
      <c r="Q616" s="60"/>
      <c r="R616" s="60"/>
      <c r="S616" s="60"/>
      <c r="T616" s="60"/>
      <c r="U616" s="60"/>
      <c r="V616" s="60"/>
      <c r="W616" s="62">
        <f t="shared" si="379"/>
        <v>7244339.2000000002</v>
      </c>
      <c r="X616" s="60" t="s">
        <v>18</v>
      </c>
      <c r="Y616" s="59">
        <v>0</v>
      </c>
      <c r="Z616" s="59">
        <v>0</v>
      </c>
      <c r="AA616" s="59">
        <v>0</v>
      </c>
      <c r="AB616" s="54">
        <f t="shared" si="380"/>
        <v>7244339.2000000002</v>
      </c>
    </row>
    <row r="617" spans="1:28" s="31" customFormat="1" ht="52.5" customHeight="1" x14ac:dyDescent="0.35">
      <c r="B617" s="53">
        <f>IF(OR(E617=0,E617=""),"",COUNTA($E$307:E617))</f>
        <v>260</v>
      </c>
      <c r="C617" s="53" t="s">
        <v>566</v>
      </c>
      <c r="D617" s="58" t="s">
        <v>1056</v>
      </c>
      <c r="E617" s="59">
        <v>1985</v>
      </c>
      <c r="F617" s="60">
        <v>3600.6</v>
      </c>
      <c r="G617" s="60">
        <v>2204.8000000000002</v>
      </c>
      <c r="H617" s="59">
        <v>672.3</v>
      </c>
      <c r="I617" s="60" t="s">
        <v>33</v>
      </c>
      <c r="J617" s="60"/>
      <c r="K617" s="60"/>
      <c r="L617" s="60"/>
      <c r="M617" s="60"/>
      <c r="N617" s="60"/>
      <c r="O617" s="60"/>
      <c r="P617" s="60">
        <f>1972*F617</f>
        <v>7100383.2000000002</v>
      </c>
      <c r="Q617" s="60"/>
      <c r="R617" s="60"/>
      <c r="S617" s="60"/>
      <c r="T617" s="60"/>
      <c r="U617" s="60"/>
      <c r="V617" s="60"/>
      <c r="W617" s="62">
        <f t="shared" si="379"/>
        <v>7100383.2000000002</v>
      </c>
      <c r="X617" s="60" t="s">
        <v>18</v>
      </c>
      <c r="Y617" s="59">
        <v>0</v>
      </c>
      <c r="Z617" s="59">
        <v>0</v>
      </c>
      <c r="AA617" s="59">
        <v>0</v>
      </c>
      <c r="AB617" s="54">
        <f t="shared" si="380"/>
        <v>7100383.2000000002</v>
      </c>
    </row>
    <row r="618" spans="1:28" s="31" customFormat="1" ht="52.5" customHeight="1" x14ac:dyDescent="0.35">
      <c r="B618" s="53">
        <f>IF(OR(E618=0,E618=""),"",COUNTA($E$307:E618))</f>
        <v>261</v>
      </c>
      <c r="C618" s="53" t="s">
        <v>558</v>
      </c>
      <c r="D618" s="58" t="s">
        <v>1057</v>
      </c>
      <c r="E618" s="59">
        <v>1982</v>
      </c>
      <c r="F618" s="60">
        <v>4307.3999999999996</v>
      </c>
      <c r="G618" s="60">
        <v>3237.2</v>
      </c>
      <c r="H618" s="59">
        <v>1014.7</v>
      </c>
      <c r="I618" s="60" t="s">
        <v>33</v>
      </c>
      <c r="J618" s="60"/>
      <c r="K618" s="60"/>
      <c r="L618" s="60"/>
      <c r="M618" s="60"/>
      <c r="N618" s="60"/>
      <c r="O618" s="60"/>
      <c r="P618" s="60">
        <f>1972*F618</f>
        <v>8494192.8000000007</v>
      </c>
      <c r="Q618" s="60"/>
      <c r="R618" s="60"/>
      <c r="S618" s="60"/>
      <c r="T618" s="60"/>
      <c r="U618" s="60"/>
      <c r="V618" s="60"/>
      <c r="W618" s="62">
        <f t="shared" si="379"/>
        <v>8494192.8000000007</v>
      </c>
      <c r="X618" s="60" t="s">
        <v>18</v>
      </c>
      <c r="Y618" s="59">
        <v>0</v>
      </c>
      <c r="Z618" s="59">
        <v>0</v>
      </c>
      <c r="AA618" s="59">
        <v>0</v>
      </c>
      <c r="AB618" s="54">
        <f t="shared" si="380"/>
        <v>8494192.8000000007</v>
      </c>
    </row>
    <row r="619" spans="1:28" s="31" customFormat="1" ht="52.5" customHeight="1" x14ac:dyDescent="0.35">
      <c r="A619" s="31">
        <v>2019</v>
      </c>
      <c r="B619" s="53" t="str">
        <f>IF(OR(E619=0,E619=""),"",COUNTA($E$307:E619))</f>
        <v/>
      </c>
      <c r="C619" s="53"/>
      <c r="D619" s="58"/>
      <c r="E619" s="59"/>
      <c r="F619" s="54">
        <f>SUM(F607:F618)</f>
        <v>26071.4</v>
      </c>
      <c r="G619" s="54">
        <f t="shared" ref="G619:H619" si="382">SUM(G607:G618)</f>
        <v>14936.1</v>
      </c>
      <c r="H619" s="54">
        <f t="shared" si="382"/>
        <v>6838.3</v>
      </c>
      <c r="I619" s="54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56">
        <f>SUM(W607:W618)</f>
        <v>68671858.019999996</v>
      </c>
      <c r="X619" s="60"/>
      <c r="Y619" s="53">
        <v>0</v>
      </c>
      <c r="Z619" s="53">
        <v>0</v>
      </c>
      <c r="AA619" s="53">
        <v>0</v>
      </c>
      <c r="AB619" s="54">
        <f>SUM(AB607:AB618)</f>
        <v>68671858.019999996</v>
      </c>
    </row>
    <row r="620" spans="1:28" s="31" customFormat="1" ht="52.5" customHeight="1" x14ac:dyDescent="0.35">
      <c r="A620" s="31">
        <v>2019</v>
      </c>
      <c r="B620" s="49"/>
      <c r="C620" s="49"/>
      <c r="D620" s="57" t="s">
        <v>66</v>
      </c>
      <c r="E620" s="59"/>
      <c r="F620" s="54">
        <f>F311+F316+F353+F363+F366+F388+F391+F394+F516+F527+F540+F550+F554+F559+F564+F567+F571+F575+F584+F587+F590+F593+F596+F602+F605</f>
        <v>846753.22</v>
      </c>
      <c r="G620" s="54">
        <f>G311+G316+G353+G363+G366+G388+G391+G394+G516+G527+G540+G550+G554+G559+G564+G567+G571+G575+G584+G587+G590+G593+G596+G602+G605</f>
        <v>585964.73</v>
      </c>
      <c r="H620" s="54">
        <f>H311+H316+H353+H363+H366+H388+H391+H394+H516+H527+H540+H550+H554+H559+H564+H567+H571+H575+H584+H587+H590+H593+H596+H602+H605</f>
        <v>78783.850000000006</v>
      </c>
      <c r="I620" s="54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54">
        <f>W311+W316+W353+W363+W366+W388+W391+W394+W516+W527+W540+W550+W554+W559+W564+W567+W571+W575+W584+W587+W590+W593+W596+W602+W605</f>
        <v>2220827158.1300001</v>
      </c>
      <c r="X620" s="60"/>
      <c r="Y620" s="53">
        <v>0</v>
      </c>
      <c r="Z620" s="53">
        <v>0</v>
      </c>
      <c r="AA620" s="53">
        <v>0</v>
      </c>
      <c r="AB620" s="54">
        <f>AB311+AB316+AB353+AB363+AB366+AB388+AB391+AB394+AB516+AB527+AB540+AB550+AB554+AB559+AB564+AB567+AB571+AB575+AB584+AB587+AB590+AB593+AB596+AB602+AB605</f>
        <v>2220827158.1300001</v>
      </c>
    </row>
    <row r="621" spans="1:28" s="35" customFormat="1" ht="52.5" customHeight="1" x14ac:dyDescent="0.35">
      <c r="B621" s="50"/>
      <c r="C621" s="50"/>
      <c r="D621" s="85" t="s">
        <v>67</v>
      </c>
      <c r="E621" s="60"/>
      <c r="F621" s="54">
        <f>F20+F305+F620</f>
        <v>1415164.66</v>
      </c>
      <c r="G621" s="54">
        <f>G20+G305+G620</f>
        <v>993980.41</v>
      </c>
      <c r="H621" s="54">
        <f>H20+H305+H620</f>
        <v>125029.28</v>
      </c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>
        <f>W20+W305+W620</f>
        <v>3576816836.6500001</v>
      </c>
      <c r="X621" s="54"/>
      <c r="Y621" s="53">
        <v>0</v>
      </c>
      <c r="Z621" s="53">
        <v>0</v>
      </c>
      <c r="AA621" s="53">
        <v>0</v>
      </c>
      <c r="AB621" s="54">
        <f>AB20+AB305+AB620</f>
        <v>3576816836.6500001</v>
      </c>
    </row>
    <row r="622" spans="1:28" x14ac:dyDescent="0.25">
      <c r="AB622" s="23"/>
    </row>
  </sheetData>
  <autoFilter ref="A14:AW621"/>
  <mergeCells count="34">
    <mergeCell ref="W1:AB1"/>
    <mergeCell ref="W2:AB2"/>
    <mergeCell ref="W5:AB5"/>
    <mergeCell ref="Y10:AB10"/>
    <mergeCell ref="D7:AC7"/>
    <mergeCell ref="D10:D13"/>
    <mergeCell ref="E10:E13"/>
    <mergeCell ref="F10:F13"/>
    <mergeCell ref="G10:G13"/>
    <mergeCell ref="H10:H13"/>
    <mergeCell ref="T11:T13"/>
    <mergeCell ref="AB11:AB12"/>
    <mergeCell ref="C10:C13"/>
    <mergeCell ref="V11:V13"/>
    <mergeCell ref="P11:P13"/>
    <mergeCell ref="W4:AB4"/>
    <mergeCell ref="S11:S13"/>
    <mergeCell ref="D8:AB8"/>
    <mergeCell ref="R11:R13"/>
    <mergeCell ref="U11:U13"/>
    <mergeCell ref="Q11:Q13"/>
    <mergeCell ref="AA11:AA12"/>
    <mergeCell ref="B10:B13"/>
    <mergeCell ref="Y11:Z11"/>
    <mergeCell ref="I10:I13"/>
    <mergeCell ref="J10:V10"/>
    <mergeCell ref="M11:M13"/>
    <mergeCell ref="K11:K13"/>
    <mergeCell ref="L11:L13"/>
    <mergeCell ref="J11:J13"/>
    <mergeCell ref="N11:N13"/>
    <mergeCell ref="W10:W13"/>
    <mergeCell ref="X10:X12"/>
    <mergeCell ref="O11:O13"/>
  </mergeCells>
  <conditionalFormatting sqref="D70">
    <cfRule type="duplicateValues" dxfId="1" priority="3"/>
  </conditionalFormatting>
  <conditionalFormatting sqref="D195">
    <cfRule type="duplicateValues" dxfId="0" priority="4"/>
  </conditionalFormatting>
  <printOptions horizontalCentered="1"/>
  <pageMargins left="0.23622047244094491" right="0.23622047244094491" top="0.78740157480314965" bottom="0.55118110236220474" header="0.31496062992125984" footer="0.31496062992125984"/>
  <pageSetup paperSize="9" scale="18" fitToHeight="0" orientation="landscape" r:id="rId1"/>
  <headerFooter differentFirst="1">
    <oddHeader>&amp;C&amp;"Times New Roman,обычный"&amp;36&amp;P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Куликов</dc:creator>
  <cp:lastModifiedBy>Ветрова Екатерина Александровна</cp:lastModifiedBy>
  <cp:lastPrinted>2024-08-26T06:38:15Z</cp:lastPrinted>
  <dcterms:created xsi:type="dcterms:W3CDTF">2014-04-24T13:02:38Z</dcterms:created>
  <dcterms:modified xsi:type="dcterms:W3CDTF">2024-08-26T06:43:35Z</dcterms:modified>
</cp:coreProperties>
</file>